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ТО\Когтев В.И. Руководитель ПТС\Объекты\1. Тендер\Калуга\Субподряд\Сети электроснабжения , наруж\"/>
    </mc:Choice>
  </mc:AlternateContent>
  <bookViews>
    <workbookView xWindow="0" yWindow="0" windowWidth="27960" windowHeight="12180" firstSheet="3" activeTab="4"/>
  </bookViews>
  <sheets>
    <sheet name="5.Ведомость_списания" sheetId="17" state="hidden" r:id="rId1"/>
    <sheet name="4.Ресурсный_расчет" sheetId="15" state="hidden" r:id="rId2"/>
    <sheet name="3.Оборудование" sheetId="13" state="hidden" r:id="rId3"/>
    <sheet name="2.Материалы" sheetId="11" r:id="rId4"/>
    <sheet name="1.Лок.смета.и.Акт" sheetId="9" r:id="rId5"/>
    <sheet name="SourceOb.1" sheetId="8" state="hidden" r:id="rId6"/>
    <sheet name="Source" sheetId="1" state="hidden" r:id="rId7"/>
    <sheet name="SourceObSm" sheetId="2" state="hidden" r:id="rId8"/>
    <sheet name="SmtRes" sheetId="3" state="hidden" r:id="rId9"/>
    <sheet name="EtalonRes" sheetId="4" state="hidden" r:id="rId10"/>
    <sheet name="SrcPoprs" sheetId="5" state="hidden" r:id="rId11"/>
    <sheet name="SrcKA" sheetId="6" state="hidden" r:id="rId12"/>
  </sheets>
  <definedNames>
    <definedName name="_xlnm.Print_Titles" localSheetId="4">'1.Лок.смета.и.Акт'!$17:$17</definedName>
    <definedName name="_xlnm.Print_Titles" localSheetId="3">'2.Материалы'!$13:$13</definedName>
    <definedName name="_xlnm.Print_Titles" localSheetId="2">'3.Оборудование'!$18:$18</definedName>
    <definedName name="_xlnm.Print_Titles" localSheetId="1">'4.Ресурсный_расчет'!$20:$20</definedName>
    <definedName name="_xlnm.Print_Titles" localSheetId="0">'5.Ведомость_списания'!$26:$26</definedName>
    <definedName name="_xlnm.Print_Area" localSheetId="4">'1.Лок.смета.и.Акт'!$A$1:$E$77</definedName>
    <definedName name="_xlnm.Print_Area" localSheetId="3">'2.Материалы'!$A$1:$E$87</definedName>
    <definedName name="_xlnm.Print_Area" localSheetId="2">'3.Оборудование'!$A$1:$G$32</definedName>
    <definedName name="_xlnm.Print_Area" localSheetId="1">'4.Ресурсный_расчет'!$A$1:$G$78</definedName>
    <definedName name="_xlnm.Print_Area" localSheetId="0">'5.Ведомость_списания'!$A$1:$K$88</definedName>
  </definedNames>
  <calcPr calcId="162913" iterate="1"/>
</workbook>
</file>

<file path=xl/calcChain.xml><?xml version="1.0" encoding="utf-8"?>
<calcChain xmlns="http://schemas.openxmlformats.org/spreadsheetml/2006/main">
  <c r="E46" i="9" l="1"/>
  <c r="BZ84" i="17" l="1"/>
  <c r="BY84" i="17"/>
  <c r="BZ81" i="17"/>
  <c r="BY81" i="17"/>
  <c r="BZ78" i="17"/>
  <c r="BY78" i="17"/>
  <c r="J43" i="1"/>
  <c r="Y78" i="3"/>
  <c r="Y77" i="3"/>
  <c r="Y76" i="3"/>
  <c r="Y75" i="3"/>
  <c r="Y74" i="3"/>
  <c r="Y69" i="3"/>
  <c r="Y68" i="3"/>
  <c r="Y67" i="3"/>
  <c r="Y66" i="3"/>
  <c r="Y65" i="3"/>
  <c r="Y64" i="3"/>
  <c r="Y57" i="3"/>
  <c r="Y56" i="3"/>
  <c r="Y55" i="3"/>
  <c r="Y54" i="3"/>
  <c r="Y53" i="3"/>
  <c r="Y52" i="3"/>
  <c r="Y45" i="3"/>
  <c r="Y44" i="3"/>
  <c r="Y43" i="3"/>
  <c r="Y42" i="3"/>
  <c r="Y35" i="3"/>
  <c r="Y34" i="3"/>
  <c r="Y33" i="3"/>
  <c r="Y32" i="3"/>
  <c r="J35" i="1"/>
  <c r="Y23" i="3"/>
  <c r="Y22" i="3"/>
  <c r="Y20" i="3"/>
  <c r="Y15" i="3"/>
  <c r="BU27" i="17"/>
  <c r="DI79" i="3"/>
  <c r="DJ78" i="3"/>
  <c r="DI78" i="3"/>
  <c r="DJ77" i="3"/>
  <c r="DI77" i="3"/>
  <c r="DJ76" i="3"/>
  <c r="DI76" i="3"/>
  <c r="DJ75" i="3"/>
  <c r="DI75" i="3"/>
  <c r="DJ74" i="3"/>
  <c r="DI74" i="3"/>
  <c r="DJ69" i="3"/>
  <c r="DI69" i="3"/>
  <c r="DJ68" i="3"/>
  <c r="DI68" i="3"/>
  <c r="DJ67" i="3"/>
  <c r="DI67" i="3"/>
  <c r="DJ66" i="3"/>
  <c r="DI66" i="3"/>
  <c r="DJ65" i="3"/>
  <c r="DI65" i="3"/>
  <c r="DJ64" i="3"/>
  <c r="DI64" i="3"/>
  <c r="DJ57" i="3"/>
  <c r="DI57" i="3"/>
  <c r="DJ56" i="3"/>
  <c r="DI56" i="3"/>
  <c r="DJ55" i="3"/>
  <c r="DI55" i="3"/>
  <c r="DJ54" i="3"/>
  <c r="DI54" i="3"/>
  <c r="DJ53" i="3"/>
  <c r="DI53" i="3"/>
  <c r="DJ52" i="3"/>
  <c r="DI52" i="3"/>
  <c r="DJ45" i="3"/>
  <c r="DI45" i="3"/>
  <c r="DJ44" i="3"/>
  <c r="DI44" i="3"/>
  <c r="DJ43" i="3"/>
  <c r="DI43" i="3"/>
  <c r="DJ42" i="3"/>
  <c r="DI42" i="3"/>
  <c r="DJ35" i="3"/>
  <c r="DI35" i="3"/>
  <c r="DJ34" i="3"/>
  <c r="DI34" i="3"/>
  <c r="DJ33" i="3"/>
  <c r="DI33" i="3"/>
  <c r="DJ32" i="3"/>
  <c r="DI32" i="3"/>
  <c r="DI25" i="3"/>
  <c r="DJ24" i="3"/>
  <c r="DI24" i="3"/>
  <c r="DJ23" i="3"/>
  <c r="DI23" i="3"/>
  <c r="DJ22" i="3"/>
  <c r="DI22" i="3"/>
  <c r="DJ20" i="3"/>
  <c r="DI20" i="3"/>
  <c r="DJ15" i="3"/>
  <c r="DI15" i="3"/>
  <c r="BT21" i="17"/>
  <c r="BS20" i="17"/>
  <c r="BS19" i="17"/>
  <c r="BR14" i="17"/>
  <c r="BR13" i="17"/>
  <c r="BR12" i="17"/>
  <c r="BR11" i="17"/>
  <c r="CA7" i="17"/>
  <c r="CA4" i="17"/>
  <c r="CA3" i="17"/>
  <c r="BZ74" i="15"/>
  <c r="BY74" i="15"/>
  <c r="BZ71" i="15"/>
  <c r="BY71" i="15"/>
  <c r="BZ68" i="15"/>
  <c r="BY68" i="15"/>
  <c r="G66" i="15"/>
  <c r="G65" i="15"/>
  <c r="G64" i="15"/>
  <c r="G62" i="15"/>
  <c r="M60" i="15"/>
  <c r="G60" i="15"/>
  <c r="G59" i="15"/>
  <c r="F59" i="15"/>
  <c r="G57" i="15"/>
  <c r="F57" i="15"/>
  <c r="G54" i="15"/>
  <c r="F54" i="15"/>
  <c r="G55" i="15"/>
  <c r="F55" i="15"/>
  <c r="G58" i="15"/>
  <c r="F58" i="15"/>
  <c r="G46" i="15"/>
  <c r="F46" i="15"/>
  <c r="G53" i="15"/>
  <c r="F53" i="15"/>
  <c r="G44" i="15"/>
  <c r="F44" i="15"/>
  <c r="G42" i="15"/>
  <c r="F42" i="15"/>
  <c r="G51" i="15"/>
  <c r="F51" i="15"/>
  <c r="G48" i="15"/>
  <c r="F48" i="15"/>
  <c r="G47" i="15"/>
  <c r="F47" i="15"/>
  <c r="G52" i="15"/>
  <c r="F52" i="15"/>
  <c r="G49" i="15"/>
  <c r="F49" i="15"/>
  <c r="G45" i="15"/>
  <c r="F45" i="15"/>
  <c r="G50" i="15"/>
  <c r="F50" i="15"/>
  <c r="G43" i="15"/>
  <c r="F43" i="15"/>
  <c r="G56" i="15"/>
  <c r="F56" i="15"/>
  <c r="L39" i="15"/>
  <c r="G39" i="15"/>
  <c r="G35" i="15"/>
  <c r="F35" i="15"/>
  <c r="G34" i="15"/>
  <c r="F34" i="15"/>
  <c r="G37" i="15"/>
  <c r="F37" i="15"/>
  <c r="G33" i="15"/>
  <c r="F33" i="15"/>
  <c r="G38" i="15"/>
  <c r="F38" i="15"/>
  <c r="G36" i="15"/>
  <c r="F36" i="15"/>
  <c r="G31" i="15"/>
  <c r="F31" i="15"/>
  <c r="G32" i="15"/>
  <c r="F32" i="15"/>
  <c r="DJ73" i="3"/>
  <c r="DI73" i="3"/>
  <c r="DJ72" i="3"/>
  <c r="DI72" i="3"/>
  <c r="DJ63" i="3"/>
  <c r="DI63" i="3"/>
  <c r="DJ62" i="3"/>
  <c r="DI62" i="3"/>
  <c r="DJ61" i="3"/>
  <c r="DI61" i="3"/>
  <c r="DJ60" i="3"/>
  <c r="DI60" i="3"/>
  <c r="DJ51" i="3"/>
  <c r="DI51" i="3"/>
  <c r="DJ50" i="3"/>
  <c r="DI50" i="3"/>
  <c r="DJ49" i="3"/>
  <c r="DI49" i="3"/>
  <c r="DJ48" i="3"/>
  <c r="DI48" i="3"/>
  <c r="DJ41" i="3"/>
  <c r="DI41" i="3"/>
  <c r="DJ40" i="3"/>
  <c r="DI40" i="3"/>
  <c r="DJ39" i="3"/>
  <c r="DI39" i="3"/>
  <c r="DJ38" i="3"/>
  <c r="DI38" i="3"/>
  <c r="DJ31" i="3"/>
  <c r="DI31" i="3"/>
  <c r="DJ30" i="3"/>
  <c r="DI30" i="3"/>
  <c r="DJ29" i="3"/>
  <c r="DI29" i="3"/>
  <c r="DJ28" i="3"/>
  <c r="DI28" i="3"/>
  <c r="DJ19" i="3"/>
  <c r="DI19" i="3"/>
  <c r="DJ18" i="3"/>
  <c r="DI18" i="3"/>
  <c r="DJ14" i="3"/>
  <c r="DI14" i="3"/>
  <c r="DJ13" i="3"/>
  <c r="DI13" i="3"/>
  <c r="DJ10" i="3"/>
  <c r="DI10" i="3"/>
  <c r="DJ9" i="3"/>
  <c r="DI9" i="3"/>
  <c r="DJ6" i="3"/>
  <c r="DI6" i="3"/>
  <c r="DJ2" i="3"/>
  <c r="DI2" i="3"/>
  <c r="K28" i="15"/>
  <c r="G28" i="15"/>
  <c r="G24" i="15"/>
  <c r="F24" i="15"/>
  <c r="G26" i="15"/>
  <c r="F26" i="15"/>
  <c r="G25" i="15"/>
  <c r="F25" i="15"/>
  <c r="G22" i="15"/>
  <c r="F22" i="15"/>
  <c r="G23" i="15"/>
  <c r="F23" i="15"/>
  <c r="G27" i="15"/>
  <c r="F27" i="15"/>
  <c r="DJ71" i="3"/>
  <c r="DI71" i="3"/>
  <c r="DJ70" i="3"/>
  <c r="DI70" i="3"/>
  <c r="DJ59" i="3"/>
  <c r="DI59" i="3"/>
  <c r="DJ58" i="3"/>
  <c r="DI58" i="3"/>
  <c r="DJ47" i="3"/>
  <c r="DI47" i="3"/>
  <c r="DJ46" i="3"/>
  <c r="DI46" i="3"/>
  <c r="DJ37" i="3"/>
  <c r="DI37" i="3"/>
  <c r="DJ36" i="3"/>
  <c r="DI36" i="3"/>
  <c r="DJ27" i="3"/>
  <c r="DI27" i="3"/>
  <c r="DJ26" i="3"/>
  <c r="DI26" i="3"/>
  <c r="DJ21" i="3"/>
  <c r="DI21" i="3"/>
  <c r="DJ17" i="3"/>
  <c r="DI17" i="3"/>
  <c r="DJ16" i="3"/>
  <c r="DI16" i="3"/>
  <c r="DJ12" i="3"/>
  <c r="DI12" i="3"/>
  <c r="DJ11" i="3"/>
  <c r="DI11" i="3"/>
  <c r="DJ8" i="3"/>
  <c r="DI8" i="3"/>
  <c r="DJ7" i="3"/>
  <c r="DI7" i="3"/>
  <c r="DK5" i="3"/>
  <c r="DJ5" i="3"/>
  <c r="DI5" i="3"/>
  <c r="DJ4" i="3"/>
  <c r="DI4" i="3"/>
  <c r="DJ3" i="3"/>
  <c r="DI3" i="3"/>
  <c r="DK1" i="3"/>
  <c r="DJ1" i="3"/>
  <c r="DI1" i="3"/>
  <c r="BT13" i="15"/>
  <c r="BS12" i="15"/>
  <c r="BS11" i="15"/>
  <c r="BR6" i="15"/>
  <c r="BR5" i="15"/>
  <c r="BR4" i="15"/>
  <c r="BR3" i="15"/>
  <c r="BZ28" i="13"/>
  <c r="BY28" i="13"/>
  <c r="BZ25" i="13"/>
  <c r="BY25" i="13"/>
  <c r="BZ22" i="13"/>
  <c r="BY22" i="13"/>
  <c r="BS11" i="13"/>
  <c r="BR6" i="13"/>
  <c r="BR5" i="13"/>
  <c r="BR4" i="13"/>
  <c r="BR3" i="13"/>
  <c r="BP8" i="11"/>
  <c r="BO7" i="11"/>
  <c r="BO6" i="11"/>
  <c r="IU14" i="8"/>
  <c r="IT14" i="8"/>
  <c r="IQ14" i="8"/>
  <c r="IP14" i="8"/>
  <c r="GD14" i="8"/>
  <c r="GA14" i="8"/>
  <c r="FZ14" i="8"/>
  <c r="IL14" i="8"/>
  <c r="IK14" i="8"/>
  <c r="IG14" i="8"/>
  <c r="IE14" i="8"/>
  <c r="ID14" i="8"/>
  <c r="IC14" i="8"/>
  <c r="IB14" i="8"/>
  <c r="FW14" i="8"/>
  <c r="FV14" i="8"/>
  <c r="FU14" i="8"/>
  <c r="FT14" i="8"/>
  <c r="FS14" i="8"/>
  <c r="FP14" i="8"/>
  <c r="FH14" i="8"/>
  <c r="FG14" i="8"/>
  <c r="FF14" i="8"/>
  <c r="FD14" i="8"/>
  <c r="FA14" i="8"/>
  <c r="BP194" i="8"/>
  <c r="BO194" i="8"/>
  <c r="BN194" i="8"/>
  <c r="BM194" i="8"/>
  <c r="BL194" i="8"/>
  <c r="BK194" i="8"/>
  <c r="BJ194" i="8"/>
  <c r="BI194" i="8"/>
  <c r="BH194" i="8"/>
  <c r="BG194" i="8"/>
  <c r="BF194" i="8"/>
  <c r="BE194" i="8"/>
  <c r="BD14" i="8"/>
  <c r="BC14" i="8"/>
  <c r="BB14" i="8"/>
  <c r="BA14" i="8"/>
  <c r="AZ14" i="8"/>
  <c r="AY14" i="8"/>
  <c r="DZ14" i="8"/>
  <c r="DY14" i="8"/>
  <c r="DX14" i="8"/>
  <c r="DD14" i="8"/>
  <c r="BC43" i="1"/>
  <c r="ES43" i="1"/>
  <c r="AL43" i="1"/>
  <c r="DW43" i="1"/>
  <c r="F43" i="1"/>
  <c r="EW42" i="1"/>
  <c r="AQ42" i="1"/>
  <c r="BC42" i="1"/>
  <c r="DK77" i="3" s="1"/>
  <c r="ES42" i="1"/>
  <c r="AL42" i="1"/>
  <c r="BS42" i="1"/>
  <c r="EU42" i="1"/>
  <c r="AN42" i="1"/>
  <c r="BB42" i="1"/>
  <c r="DK73" i="3" s="1"/>
  <c r="ET42" i="1"/>
  <c r="AM42" i="1"/>
  <c r="BA42" i="1"/>
  <c r="DK70" i="3" s="1"/>
  <c r="EV42" i="1"/>
  <c r="AO42" i="1"/>
  <c r="I42" i="1"/>
  <c r="DW42" i="1"/>
  <c r="BC41" i="1"/>
  <c r="ES41" i="1"/>
  <c r="AL41" i="1"/>
  <c r="I41" i="1"/>
  <c r="G68" i="17" s="1"/>
  <c r="DW41" i="1"/>
  <c r="F41" i="1"/>
  <c r="BC40" i="1"/>
  <c r="ES40" i="1"/>
  <c r="AL40" i="1"/>
  <c r="I40" i="1"/>
  <c r="L21" i="11" s="1"/>
  <c r="K21" i="11" s="1"/>
  <c r="DW40" i="1"/>
  <c r="F40" i="1"/>
  <c r="EW39" i="1"/>
  <c r="AQ39" i="1"/>
  <c r="BC39" i="1"/>
  <c r="DK68" i="3" s="1"/>
  <c r="ES39" i="1"/>
  <c r="AL39" i="1"/>
  <c r="BS39" i="1"/>
  <c r="EU39" i="1"/>
  <c r="AN39" i="1"/>
  <c r="BB39" i="1"/>
  <c r="DK62" i="3" s="1"/>
  <c r="ET39" i="1"/>
  <c r="AM39" i="1"/>
  <c r="BA39" i="1"/>
  <c r="DK59" i="3" s="1"/>
  <c r="EV39" i="1"/>
  <c r="AO39" i="1"/>
  <c r="I39" i="1"/>
  <c r="DW39" i="1"/>
  <c r="EW38" i="1"/>
  <c r="AQ38" i="1"/>
  <c r="BC38" i="1"/>
  <c r="DK56" i="3" s="1"/>
  <c r="ES38" i="1"/>
  <c r="AL38" i="1"/>
  <c r="BS38" i="1"/>
  <c r="EU38" i="1"/>
  <c r="AN38" i="1"/>
  <c r="BB38" i="1"/>
  <c r="DK51" i="3" s="1"/>
  <c r="ET38" i="1"/>
  <c r="AM38" i="1"/>
  <c r="BA38" i="1"/>
  <c r="DK46" i="3" s="1"/>
  <c r="EV38" i="1"/>
  <c r="AO38" i="1"/>
  <c r="I38" i="1"/>
  <c r="DW38" i="1"/>
  <c r="EW37" i="1"/>
  <c r="AQ37" i="1"/>
  <c r="BC37" i="1"/>
  <c r="DK44" i="3" s="1"/>
  <c r="ES37" i="1"/>
  <c r="AL37" i="1"/>
  <c r="BS37" i="1"/>
  <c r="EU37" i="1"/>
  <c r="AN37" i="1"/>
  <c r="BB37" i="1"/>
  <c r="DK39" i="3" s="1"/>
  <c r="ET37" i="1"/>
  <c r="AM37" i="1"/>
  <c r="BA37" i="1"/>
  <c r="DK36" i="3" s="1"/>
  <c r="EV37" i="1"/>
  <c r="AO37" i="1"/>
  <c r="I37" i="1"/>
  <c r="DW37" i="1"/>
  <c r="EW36" i="1"/>
  <c r="AQ36" i="1"/>
  <c r="BC36" i="1"/>
  <c r="DK35" i="3" s="1"/>
  <c r="ES36" i="1"/>
  <c r="AL36" i="1"/>
  <c r="BS36" i="1"/>
  <c r="EU36" i="1"/>
  <c r="AN36" i="1"/>
  <c r="BB36" i="1"/>
  <c r="DK30" i="3" s="1"/>
  <c r="ET36" i="1"/>
  <c r="AM36" i="1"/>
  <c r="BA36" i="1"/>
  <c r="DK27" i="3" s="1"/>
  <c r="EV36" i="1"/>
  <c r="AO36" i="1"/>
  <c r="I36" i="1"/>
  <c r="DW36" i="1"/>
  <c r="BC35" i="1"/>
  <c r="ES35" i="1"/>
  <c r="AL35" i="1"/>
  <c r="DW35" i="1"/>
  <c r="F35" i="1"/>
  <c r="BC34" i="1"/>
  <c r="ES34" i="1"/>
  <c r="AL34" i="1"/>
  <c r="DW34" i="1"/>
  <c r="F34" i="1"/>
  <c r="EW33" i="1"/>
  <c r="AQ33" i="1"/>
  <c r="BC33" i="1"/>
  <c r="DK24" i="3" s="1"/>
  <c r="ES33" i="1"/>
  <c r="AL33" i="1"/>
  <c r="BA33" i="1"/>
  <c r="DK21" i="3" s="1"/>
  <c r="EV33" i="1"/>
  <c r="AO33" i="1"/>
  <c r="I33" i="1"/>
  <c r="DW33" i="1"/>
  <c r="BC32" i="1"/>
  <c r="ES32" i="1"/>
  <c r="AL32" i="1"/>
  <c r="I32" i="1"/>
  <c r="G38" i="17" s="1"/>
  <c r="DW32" i="1"/>
  <c r="F32" i="1"/>
  <c r="EW31" i="1"/>
  <c r="AQ31" i="1"/>
  <c r="BC31" i="1"/>
  <c r="DK20" i="3" s="1"/>
  <c r="ES31" i="1"/>
  <c r="AL31" i="1"/>
  <c r="BS31" i="1"/>
  <c r="EU31" i="1"/>
  <c r="AN31" i="1"/>
  <c r="BB31" i="1"/>
  <c r="DK19" i="3" s="1"/>
  <c r="ET31" i="1"/>
  <c r="AM31" i="1"/>
  <c r="BA31" i="1"/>
  <c r="DK17" i="3" s="1"/>
  <c r="EV31" i="1"/>
  <c r="AO31" i="1"/>
  <c r="I31" i="1"/>
  <c r="DW31" i="1"/>
  <c r="EW30" i="1"/>
  <c r="AQ30" i="1"/>
  <c r="BC30" i="1"/>
  <c r="DK15" i="3" s="1"/>
  <c r="ES30" i="1"/>
  <c r="AL30" i="1"/>
  <c r="BS30" i="1"/>
  <c r="EU30" i="1"/>
  <c r="AN30" i="1"/>
  <c r="BB30" i="1"/>
  <c r="DK13" i="3" s="1"/>
  <c r="ET30" i="1"/>
  <c r="AM30" i="1"/>
  <c r="BA30" i="1"/>
  <c r="DK11" i="3" s="1"/>
  <c r="EV30" i="1"/>
  <c r="AO30" i="1"/>
  <c r="I30" i="1"/>
  <c r="DW30" i="1"/>
  <c r="EW29" i="1"/>
  <c r="AQ29" i="1"/>
  <c r="BS29" i="1"/>
  <c r="EU29" i="1"/>
  <c r="AN29" i="1"/>
  <c r="BB29" i="1"/>
  <c r="DK9" i="3" s="1"/>
  <c r="ET29" i="1"/>
  <c r="AM29" i="1"/>
  <c r="BA29" i="1"/>
  <c r="DK7" i="3" s="1"/>
  <c r="EV29" i="1"/>
  <c r="AO29" i="1"/>
  <c r="I29" i="1"/>
  <c r="DW29" i="1"/>
  <c r="BS28" i="1"/>
  <c r="EU28" i="1"/>
  <c r="AN28" i="1"/>
  <c r="BB28" i="1"/>
  <c r="DK6" i="3" s="1"/>
  <c r="ET28" i="1"/>
  <c r="ER28" i="1" s="1"/>
  <c r="AM28" i="1"/>
  <c r="AK28" i="1" s="1"/>
  <c r="I28" i="1"/>
  <c r="DW28" i="1"/>
  <c r="BC27" i="1"/>
  <c r="ES27" i="1"/>
  <c r="AL27" i="1"/>
  <c r="I27" i="1"/>
  <c r="G31" i="17" s="1"/>
  <c r="DW27" i="1"/>
  <c r="F27" i="1"/>
  <c r="EW26" i="1"/>
  <c r="AQ26" i="1"/>
  <c r="BA26" i="1"/>
  <c r="DK4" i="3" s="1"/>
  <c r="EV26" i="1"/>
  <c r="ER26" i="1" s="1"/>
  <c r="AO26" i="1"/>
  <c r="AK26" i="1" s="1"/>
  <c r="I26" i="1"/>
  <c r="DW26" i="1"/>
  <c r="EW25" i="1"/>
  <c r="AQ25" i="1"/>
  <c r="BA25" i="1"/>
  <c r="DK3" i="3" s="1"/>
  <c r="EV25" i="1"/>
  <c r="ER25" i="1" s="1"/>
  <c r="AO25" i="1"/>
  <c r="AK25" i="1" s="1"/>
  <c r="I25" i="1"/>
  <c r="DW25" i="1"/>
  <c r="BS24" i="1"/>
  <c r="EU24" i="1"/>
  <c r="AN24" i="1"/>
  <c r="BB24" i="1"/>
  <c r="DK2" i="3" s="1"/>
  <c r="ET24" i="1"/>
  <c r="ER24" i="1" s="1"/>
  <c r="AM24" i="1"/>
  <c r="AK24" i="1" s="1"/>
  <c r="I24" i="1"/>
  <c r="DW24" i="1"/>
  <c r="BN6" i="9"/>
  <c r="DH9" i="3" l="1"/>
  <c r="DH63" i="3"/>
  <c r="DH33" i="3"/>
  <c r="DH36" i="3"/>
  <c r="DK23" i="3"/>
  <c r="DK43" i="3"/>
  <c r="DH70" i="3"/>
  <c r="DH28" i="3"/>
  <c r="DH42" i="3"/>
  <c r="DK64" i="3"/>
  <c r="DH3" i="3"/>
  <c r="DH31" i="3"/>
  <c r="DK67" i="3"/>
  <c r="DK79" i="3"/>
  <c r="DH74" i="3"/>
  <c r="DH40" i="3"/>
  <c r="DH75" i="3"/>
  <c r="DH21" i="3"/>
  <c r="DH7" i="3"/>
  <c r="DH60" i="3"/>
  <c r="DH78" i="3"/>
  <c r="H38" i="17"/>
  <c r="J38" i="17" s="1"/>
  <c r="H68" i="17"/>
  <c r="J68" i="17" s="1"/>
  <c r="H31" i="17"/>
  <c r="J31" i="17" s="1"/>
  <c r="DH47" i="3"/>
  <c r="DH15" i="3"/>
  <c r="L20" i="11"/>
  <c r="K20" i="11" s="1"/>
  <c r="DK8" i="3"/>
  <c r="DK16" i="3"/>
  <c r="DK26" i="3"/>
  <c r="DK37" i="3"/>
  <c r="DK58" i="3"/>
  <c r="DK71" i="3"/>
  <c r="DK10" i="3"/>
  <c r="DK18" i="3"/>
  <c r="DK29" i="3"/>
  <c r="DK38" i="3"/>
  <c r="DK41" i="3"/>
  <c r="DK50" i="3"/>
  <c r="DK61" i="3"/>
  <c r="DK72" i="3"/>
  <c r="DH20" i="3"/>
  <c r="DH24" i="3"/>
  <c r="DK25" i="3"/>
  <c r="DK34" i="3"/>
  <c r="DH44" i="3"/>
  <c r="DH53" i="3"/>
  <c r="DH56" i="3"/>
  <c r="DH65" i="3"/>
  <c r="DH68" i="3"/>
  <c r="DK76" i="3"/>
  <c r="E43" i="17"/>
  <c r="E53" i="17"/>
  <c r="DH12" i="3"/>
  <c r="DK55" i="3"/>
  <c r="L28" i="11"/>
  <c r="K28" i="11" s="1"/>
  <c r="DH1" i="3"/>
  <c r="DH5" i="3"/>
  <c r="DH11" i="3"/>
  <c r="DH17" i="3"/>
  <c r="DH27" i="3"/>
  <c r="DH46" i="3"/>
  <c r="DH59" i="3"/>
  <c r="DH6" i="3"/>
  <c r="DH13" i="3"/>
  <c r="DH19" i="3"/>
  <c r="DH30" i="3"/>
  <c r="DH39" i="3"/>
  <c r="DH48" i="3"/>
  <c r="DH51" i="3"/>
  <c r="DH62" i="3"/>
  <c r="DH73" i="3"/>
  <c r="DK22" i="3"/>
  <c r="DH32" i="3"/>
  <c r="DH35" i="3"/>
  <c r="DK45" i="3"/>
  <c r="DK54" i="3"/>
  <c r="DK57" i="3"/>
  <c r="DK66" i="3"/>
  <c r="DK69" i="3"/>
  <c r="DH77" i="3"/>
  <c r="E28" i="17"/>
  <c r="E60" i="17"/>
  <c r="DK52" i="3"/>
  <c r="L22" i="11"/>
  <c r="K22" i="11" s="1"/>
  <c r="DK12" i="3"/>
  <c r="DK47" i="3"/>
  <c r="DK14" i="3"/>
  <c r="DK28" i="3"/>
  <c r="DK31" i="3"/>
  <c r="DK40" i="3"/>
  <c r="DK49" i="3"/>
  <c r="DK60" i="3"/>
  <c r="DK63" i="3"/>
  <c r="DH23" i="3"/>
  <c r="DK33" i="3"/>
  <c r="DK42" i="3"/>
  <c r="DH52" i="3"/>
  <c r="DH55" i="3"/>
  <c r="DH64" i="3"/>
  <c r="DH67" i="3"/>
  <c r="DK75" i="3"/>
  <c r="DK78" i="3"/>
  <c r="E29" i="17"/>
  <c r="E32" i="17"/>
  <c r="E39" i="17"/>
  <c r="G67" i="17"/>
  <c r="DH14" i="3"/>
  <c r="DH4" i="3"/>
  <c r="DH8" i="3"/>
  <c r="DH16" i="3"/>
  <c r="DH26" i="3"/>
  <c r="DH37" i="3"/>
  <c r="DH58" i="3"/>
  <c r="DH71" i="3"/>
  <c r="DH2" i="3"/>
  <c r="DH10" i="3"/>
  <c r="DH18" i="3"/>
  <c r="DH29" i="3"/>
  <c r="DH38" i="3"/>
  <c r="DH41" i="3"/>
  <c r="DH50" i="3"/>
  <c r="DH61" i="3"/>
  <c r="DH72" i="3"/>
  <c r="DH34" i="3"/>
  <c r="DK53" i="3"/>
  <c r="DK65" i="3"/>
  <c r="DH76" i="3"/>
  <c r="DH79" i="3"/>
  <c r="E30" i="17"/>
  <c r="E33" i="17"/>
  <c r="E48" i="17"/>
  <c r="DH43" i="3"/>
  <c r="DH49" i="3"/>
  <c r="DK48" i="3"/>
  <c r="DH22" i="3"/>
  <c r="DH25" i="3"/>
  <c r="DK32" i="3"/>
  <c r="DH45" i="3"/>
  <c r="DH54" i="3"/>
  <c r="DH57" i="3"/>
  <c r="DH66" i="3"/>
  <c r="DH69" i="3"/>
  <c r="DK74" i="3"/>
  <c r="E34" i="17"/>
  <c r="G35" i="17" s="1"/>
  <c r="E36" i="17"/>
  <c r="G37" i="17" s="1"/>
  <c r="E69" i="17"/>
  <c r="ER42" i="1"/>
  <c r="AK42" i="1"/>
  <c r="AK39" i="1"/>
  <c r="AK38" i="1"/>
  <c r="AK37" i="1"/>
  <c r="ER39" i="1"/>
  <c r="ER38" i="1"/>
  <c r="AK36" i="1"/>
  <c r="ER37" i="1"/>
  <c r="ER36" i="1"/>
  <c r="AK33" i="1"/>
  <c r="ER33" i="1"/>
  <c r="FJ14" i="8"/>
  <c r="AK31" i="1"/>
  <c r="AK30" i="1"/>
  <c r="ER31" i="1"/>
  <c r="AK29" i="1"/>
  <c r="ER30" i="1"/>
  <c r="ER29" i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1" i="3"/>
  <c r="Y1" i="3"/>
  <c r="CY1" i="3"/>
  <c r="CZ1" i="3"/>
  <c r="DB1" i="3" s="1"/>
  <c r="DA1" i="3"/>
  <c r="DC1" i="3"/>
  <c r="A2" i="3"/>
  <c r="Y2" i="3"/>
  <c r="CY2" i="3"/>
  <c r="CZ2" i="3"/>
  <c r="DA2" i="3"/>
  <c r="DB2" i="3"/>
  <c r="DC2" i="3"/>
  <c r="A3" i="3"/>
  <c r="Y3" i="3"/>
  <c r="CY3" i="3"/>
  <c r="CZ3" i="3"/>
  <c r="DB3" i="3" s="1"/>
  <c r="DA3" i="3"/>
  <c r="DC3" i="3"/>
  <c r="A4" i="3"/>
  <c r="Y4" i="3"/>
  <c r="CY4" i="3"/>
  <c r="CZ4" i="3"/>
  <c r="DA4" i="3"/>
  <c r="DB4" i="3"/>
  <c r="DC4" i="3"/>
  <c r="A5" i="3"/>
  <c r="Y5" i="3"/>
  <c r="CY5" i="3"/>
  <c r="CZ5" i="3"/>
  <c r="DA5" i="3"/>
  <c r="DB5" i="3"/>
  <c r="DC5" i="3"/>
  <c r="A6" i="3"/>
  <c r="Y6" i="3"/>
  <c r="CY6" i="3"/>
  <c r="CZ6" i="3"/>
  <c r="DB6" i="3" s="1"/>
  <c r="DA6" i="3"/>
  <c r="DC6" i="3"/>
  <c r="A7" i="3"/>
  <c r="Y7" i="3"/>
  <c r="CY7" i="3"/>
  <c r="CZ7" i="3"/>
  <c r="DA7" i="3"/>
  <c r="DB7" i="3"/>
  <c r="DC7" i="3"/>
  <c r="A8" i="3"/>
  <c r="Y8" i="3"/>
  <c r="CY8" i="3"/>
  <c r="CZ8" i="3"/>
  <c r="DA8" i="3"/>
  <c r="DB8" i="3"/>
  <c r="DC8" i="3"/>
  <c r="A9" i="3"/>
  <c r="Y9" i="3"/>
  <c r="CY9" i="3"/>
  <c r="CZ9" i="3"/>
  <c r="DB9" i="3" s="1"/>
  <c r="DA9" i="3"/>
  <c r="DC9" i="3"/>
  <c r="A10" i="3"/>
  <c r="Y10" i="3"/>
  <c r="CY10" i="3"/>
  <c r="CZ10" i="3"/>
  <c r="DA10" i="3"/>
  <c r="DB10" i="3"/>
  <c r="DC10" i="3"/>
  <c r="A11" i="3"/>
  <c r="Y11" i="3"/>
  <c r="CY11" i="3"/>
  <c r="CZ11" i="3"/>
  <c r="DA11" i="3"/>
  <c r="DB11" i="3"/>
  <c r="DC11" i="3"/>
  <c r="A12" i="3"/>
  <c r="Y12" i="3"/>
  <c r="CY12" i="3"/>
  <c r="CZ12" i="3"/>
  <c r="DB12" i="3" s="1"/>
  <c r="DA12" i="3"/>
  <c r="DC12" i="3"/>
  <c r="A13" i="3"/>
  <c r="Y13" i="3"/>
  <c r="CY13" i="3"/>
  <c r="CZ13" i="3"/>
  <c r="DA13" i="3"/>
  <c r="DB13" i="3"/>
  <c r="DC13" i="3"/>
  <c r="A14" i="3"/>
  <c r="Y14" i="3"/>
  <c r="CY14" i="3"/>
  <c r="CZ14" i="3"/>
  <c r="DA14" i="3"/>
  <c r="DB14" i="3"/>
  <c r="DC14" i="3"/>
  <c r="A15" i="3"/>
  <c r="CY15" i="3"/>
  <c r="CZ15" i="3"/>
  <c r="DA15" i="3"/>
  <c r="DB15" i="3"/>
  <c r="DC15" i="3"/>
  <c r="A16" i="3"/>
  <c r="Y16" i="3"/>
  <c r="CY16" i="3"/>
  <c r="CZ16" i="3"/>
  <c r="DA16" i="3"/>
  <c r="DB16" i="3"/>
  <c r="DC16" i="3"/>
  <c r="A17" i="3"/>
  <c r="Y17" i="3"/>
  <c r="CY17" i="3"/>
  <c r="CZ17" i="3"/>
  <c r="DA17" i="3"/>
  <c r="DB17" i="3"/>
  <c r="DC17" i="3"/>
  <c r="A18" i="3"/>
  <c r="Y18" i="3"/>
  <c r="CY18" i="3"/>
  <c r="CZ18" i="3"/>
  <c r="DA18" i="3"/>
  <c r="DB18" i="3"/>
  <c r="DC18" i="3"/>
  <c r="A19" i="3"/>
  <c r="Y19" i="3"/>
  <c r="CY19" i="3"/>
  <c r="CZ19" i="3"/>
  <c r="DB19" i="3" s="1"/>
  <c r="DA19" i="3"/>
  <c r="DC19" i="3"/>
  <c r="A20" i="3"/>
  <c r="CY20" i="3"/>
  <c r="CZ20" i="3"/>
  <c r="DA20" i="3"/>
  <c r="DB20" i="3"/>
  <c r="DC20" i="3"/>
  <c r="A21" i="3"/>
  <c r="Y21" i="3"/>
  <c r="CY21" i="3"/>
  <c r="CZ21" i="3"/>
  <c r="DA21" i="3"/>
  <c r="DB21" i="3"/>
  <c r="DC21" i="3"/>
  <c r="A22" i="3"/>
  <c r="CY22" i="3"/>
  <c r="CZ22" i="3"/>
  <c r="DB22" i="3" s="1"/>
  <c r="DA22" i="3"/>
  <c r="DC22" i="3"/>
  <c r="A23" i="3"/>
  <c r="CY23" i="3"/>
  <c r="CZ23" i="3"/>
  <c r="DB23" i="3" s="1"/>
  <c r="DA23" i="3"/>
  <c r="DC23" i="3"/>
  <c r="A24" i="3"/>
  <c r="Y24" i="3"/>
  <c r="CY24" i="3"/>
  <c r="CZ24" i="3"/>
  <c r="DA24" i="3"/>
  <c r="DB24" i="3"/>
  <c r="DC24" i="3"/>
  <c r="A25" i="3"/>
  <c r="Y25" i="3"/>
  <c r="CY25" i="3"/>
  <c r="CZ25" i="3"/>
  <c r="DA25" i="3"/>
  <c r="DB25" i="3"/>
  <c r="DC25" i="3"/>
  <c r="A26" i="3"/>
  <c r="Y26" i="3"/>
  <c r="CX26" i="3" s="1"/>
  <c r="CY26" i="3"/>
  <c r="CZ26" i="3"/>
  <c r="DB26" i="3" s="1"/>
  <c r="DA26" i="3"/>
  <c r="DC26" i="3"/>
  <c r="A27" i="3"/>
  <c r="Y27" i="3"/>
  <c r="CY27" i="3"/>
  <c r="CZ27" i="3"/>
  <c r="DB27" i="3" s="1"/>
  <c r="DA27" i="3"/>
  <c r="DC27" i="3"/>
  <c r="A28" i="3"/>
  <c r="Y28" i="3"/>
  <c r="CW28" i="3" s="1"/>
  <c r="CY28" i="3"/>
  <c r="CZ28" i="3"/>
  <c r="DA28" i="3"/>
  <c r="DB28" i="3"/>
  <c r="DC28" i="3"/>
  <c r="A29" i="3"/>
  <c r="Y29" i="3"/>
  <c r="CY29" i="3"/>
  <c r="CZ29" i="3"/>
  <c r="DB29" i="3" s="1"/>
  <c r="DA29" i="3"/>
  <c r="DC29" i="3"/>
  <c r="A30" i="3"/>
  <c r="Y30" i="3"/>
  <c r="CY30" i="3"/>
  <c r="CZ30" i="3"/>
  <c r="DB30" i="3" s="1"/>
  <c r="DA30" i="3"/>
  <c r="DC30" i="3"/>
  <c r="A31" i="3"/>
  <c r="Y31" i="3"/>
  <c r="CY31" i="3"/>
  <c r="CZ31" i="3"/>
  <c r="DA31" i="3"/>
  <c r="DB31" i="3"/>
  <c r="DC31" i="3"/>
  <c r="A32" i="3"/>
  <c r="CY32" i="3"/>
  <c r="CZ32" i="3"/>
  <c r="DB32" i="3" s="1"/>
  <c r="DA32" i="3"/>
  <c r="DC32" i="3"/>
  <c r="A33" i="3"/>
  <c r="CY33" i="3"/>
  <c r="CZ33" i="3"/>
  <c r="DB33" i="3" s="1"/>
  <c r="DA33" i="3"/>
  <c r="DC33" i="3"/>
  <c r="A34" i="3"/>
  <c r="CY34" i="3"/>
  <c r="CZ34" i="3"/>
  <c r="DB34" i="3" s="1"/>
  <c r="DA34" i="3"/>
  <c r="DC34" i="3"/>
  <c r="A35" i="3"/>
  <c r="CY35" i="3"/>
  <c r="CZ35" i="3"/>
  <c r="DB35" i="3" s="1"/>
  <c r="DA35" i="3"/>
  <c r="DC35" i="3"/>
  <c r="A36" i="3"/>
  <c r="Y36" i="3"/>
  <c r="CY36" i="3"/>
  <c r="CZ36" i="3"/>
  <c r="DB36" i="3" s="1"/>
  <c r="DA36" i="3"/>
  <c r="DC36" i="3"/>
  <c r="A37" i="3"/>
  <c r="Y37" i="3"/>
  <c r="CY37" i="3"/>
  <c r="CZ37" i="3"/>
  <c r="DB37" i="3" s="1"/>
  <c r="DA37" i="3"/>
  <c r="DC37" i="3"/>
  <c r="A38" i="3"/>
  <c r="Y38" i="3"/>
  <c r="CY38" i="3"/>
  <c r="CZ38" i="3"/>
  <c r="DB38" i="3" s="1"/>
  <c r="DA38" i="3"/>
  <c r="DC38" i="3"/>
  <c r="A39" i="3"/>
  <c r="Y39" i="3"/>
  <c r="CY39" i="3"/>
  <c r="CZ39" i="3"/>
  <c r="DA39" i="3"/>
  <c r="DB39" i="3"/>
  <c r="DC39" i="3"/>
  <c r="A40" i="3"/>
  <c r="Y40" i="3"/>
  <c r="CY40" i="3"/>
  <c r="CZ40" i="3"/>
  <c r="DB40" i="3" s="1"/>
  <c r="DA40" i="3"/>
  <c r="DC40" i="3"/>
  <c r="A41" i="3"/>
  <c r="Y41" i="3"/>
  <c r="CY41" i="3"/>
  <c r="CZ41" i="3"/>
  <c r="DB41" i="3" s="1"/>
  <c r="DA41" i="3"/>
  <c r="DC41" i="3"/>
  <c r="A42" i="3"/>
  <c r="CY42" i="3"/>
  <c r="CZ42" i="3"/>
  <c r="DA42" i="3"/>
  <c r="DB42" i="3"/>
  <c r="DC42" i="3"/>
  <c r="A43" i="3"/>
  <c r="CY43" i="3"/>
  <c r="CZ43" i="3"/>
  <c r="DA43" i="3"/>
  <c r="DB43" i="3"/>
  <c r="DC43" i="3"/>
  <c r="A44" i="3"/>
  <c r="CY44" i="3"/>
  <c r="CZ44" i="3"/>
  <c r="DB44" i="3" s="1"/>
  <c r="DA44" i="3"/>
  <c r="DC44" i="3"/>
  <c r="A45" i="3"/>
  <c r="CY45" i="3"/>
  <c r="CZ45" i="3"/>
  <c r="DB45" i="3" s="1"/>
  <c r="DA45" i="3"/>
  <c r="DC45" i="3"/>
  <c r="A46" i="3"/>
  <c r="Y46" i="3"/>
  <c r="CY46" i="3"/>
  <c r="CZ46" i="3"/>
  <c r="DA46" i="3"/>
  <c r="DB46" i="3"/>
  <c r="DC46" i="3"/>
  <c r="A47" i="3"/>
  <c r="Y47" i="3"/>
  <c r="CY47" i="3"/>
  <c r="CZ47" i="3"/>
  <c r="DA47" i="3"/>
  <c r="DB47" i="3"/>
  <c r="DC47" i="3"/>
  <c r="A48" i="3"/>
  <c r="Y48" i="3"/>
  <c r="CY48" i="3"/>
  <c r="CZ48" i="3"/>
  <c r="DB48" i="3" s="1"/>
  <c r="DA48" i="3"/>
  <c r="DC48" i="3"/>
  <c r="A49" i="3"/>
  <c r="Y49" i="3"/>
  <c r="CY49" i="3"/>
  <c r="CZ49" i="3"/>
  <c r="DB49" i="3" s="1"/>
  <c r="DA49" i="3"/>
  <c r="DC49" i="3"/>
  <c r="A50" i="3"/>
  <c r="Y50" i="3"/>
  <c r="CY50" i="3"/>
  <c r="CZ50" i="3"/>
  <c r="DA50" i="3"/>
  <c r="DB50" i="3"/>
  <c r="DC50" i="3"/>
  <c r="A51" i="3"/>
  <c r="Y51" i="3"/>
  <c r="CY51" i="3"/>
  <c r="CZ51" i="3"/>
  <c r="DB51" i="3" s="1"/>
  <c r="DA51" i="3"/>
  <c r="DC51" i="3"/>
  <c r="A52" i="3"/>
  <c r="CY52" i="3"/>
  <c r="CZ52" i="3"/>
  <c r="DB52" i="3" s="1"/>
  <c r="DA52" i="3"/>
  <c r="DC52" i="3"/>
  <c r="A53" i="3"/>
  <c r="CY53" i="3"/>
  <c r="CZ53" i="3"/>
  <c r="DB53" i="3" s="1"/>
  <c r="DA53" i="3"/>
  <c r="DC53" i="3"/>
  <c r="A54" i="3"/>
  <c r="CY54" i="3"/>
  <c r="CZ54" i="3"/>
  <c r="DA54" i="3"/>
  <c r="DB54" i="3"/>
  <c r="DC54" i="3"/>
  <c r="A55" i="3"/>
  <c r="CY55" i="3"/>
  <c r="CZ55" i="3"/>
  <c r="DA55" i="3"/>
  <c r="DB55" i="3"/>
  <c r="DC55" i="3"/>
  <c r="A56" i="3"/>
  <c r="CY56" i="3"/>
  <c r="CZ56" i="3"/>
  <c r="DB56" i="3" s="1"/>
  <c r="DA56" i="3"/>
  <c r="DC56" i="3"/>
  <c r="A57" i="3"/>
  <c r="CY57" i="3"/>
  <c r="CZ57" i="3"/>
  <c r="DA57" i="3"/>
  <c r="DB57" i="3"/>
  <c r="DC57" i="3"/>
  <c r="A58" i="3"/>
  <c r="Y58" i="3"/>
  <c r="CY58" i="3"/>
  <c r="CZ58" i="3"/>
  <c r="DA58" i="3"/>
  <c r="DB58" i="3"/>
  <c r="DC58" i="3"/>
  <c r="A59" i="3"/>
  <c r="Y59" i="3"/>
  <c r="CY59" i="3"/>
  <c r="CZ59" i="3"/>
  <c r="DA59" i="3"/>
  <c r="DB59" i="3"/>
  <c r="DC59" i="3"/>
  <c r="A60" i="3"/>
  <c r="Y60" i="3"/>
  <c r="CY60" i="3"/>
  <c r="CZ60" i="3"/>
  <c r="DA60" i="3"/>
  <c r="DB60" i="3"/>
  <c r="DC60" i="3"/>
  <c r="A61" i="3"/>
  <c r="Y61" i="3"/>
  <c r="CY61" i="3"/>
  <c r="CZ61" i="3"/>
  <c r="DB61" i="3" s="1"/>
  <c r="DA61" i="3"/>
  <c r="DC61" i="3"/>
  <c r="A62" i="3"/>
  <c r="Y62" i="3"/>
  <c r="CX62" i="3"/>
  <c r="DF62" i="3" s="1"/>
  <c r="CY62" i="3"/>
  <c r="CZ62" i="3"/>
  <c r="DA62" i="3"/>
  <c r="DB62" i="3"/>
  <c r="DC62" i="3"/>
  <c r="A63" i="3"/>
  <c r="Y63" i="3"/>
  <c r="CY63" i="3"/>
  <c r="CZ63" i="3"/>
  <c r="DB63" i="3" s="1"/>
  <c r="DA63" i="3"/>
  <c r="DC63" i="3"/>
  <c r="A64" i="3"/>
  <c r="CY64" i="3"/>
  <c r="CZ64" i="3"/>
  <c r="DB64" i="3" s="1"/>
  <c r="DA64" i="3"/>
  <c r="DC64" i="3"/>
  <c r="A65" i="3"/>
  <c r="CY65" i="3"/>
  <c r="CZ65" i="3"/>
  <c r="DB65" i="3" s="1"/>
  <c r="DA65" i="3"/>
  <c r="DC65" i="3"/>
  <c r="A66" i="3"/>
  <c r="CY66" i="3"/>
  <c r="CZ66" i="3"/>
  <c r="DA66" i="3"/>
  <c r="DB66" i="3"/>
  <c r="DC66" i="3"/>
  <c r="A67" i="3"/>
  <c r="CY67" i="3"/>
  <c r="CZ67" i="3"/>
  <c r="DA67" i="3"/>
  <c r="DB67" i="3"/>
  <c r="DC67" i="3"/>
  <c r="A68" i="3"/>
  <c r="CY68" i="3"/>
  <c r="CZ68" i="3"/>
  <c r="DA68" i="3"/>
  <c r="DB68" i="3"/>
  <c r="DC68" i="3"/>
  <c r="A69" i="3"/>
  <c r="CY69" i="3"/>
  <c r="CZ69" i="3"/>
  <c r="DB69" i="3" s="1"/>
  <c r="DA69" i="3"/>
  <c r="DC69" i="3"/>
  <c r="A70" i="3"/>
  <c r="Y70" i="3"/>
  <c r="CU70" i="3"/>
  <c r="CV70" i="3"/>
  <c r="CX70" i="3"/>
  <c r="CY70" i="3"/>
  <c r="CZ70" i="3"/>
  <c r="DB70" i="3" s="1"/>
  <c r="DA70" i="3"/>
  <c r="DC70" i="3"/>
  <c r="A71" i="3"/>
  <c r="Y71" i="3"/>
  <c r="CX71" i="3"/>
  <c r="DF71" i="3" s="1"/>
  <c r="CY71" i="3"/>
  <c r="CZ71" i="3"/>
  <c r="DA71" i="3"/>
  <c r="DB71" i="3"/>
  <c r="DC71" i="3"/>
  <c r="A72" i="3"/>
  <c r="Y72" i="3"/>
  <c r="CX72" i="3" s="1"/>
  <c r="CW72" i="3"/>
  <c r="CY72" i="3"/>
  <c r="CZ72" i="3"/>
  <c r="DB72" i="3" s="1"/>
  <c r="DA72" i="3"/>
  <c r="DC72" i="3"/>
  <c r="A73" i="3"/>
  <c r="Y73" i="3"/>
  <c r="CW73" i="3"/>
  <c r="CX73" i="3"/>
  <c r="DF73" i="3" s="1"/>
  <c r="CY73" i="3"/>
  <c r="CZ73" i="3"/>
  <c r="DB73" i="3" s="1"/>
  <c r="DA73" i="3"/>
  <c r="DC73" i="3"/>
  <c r="A74" i="3"/>
  <c r="CX74" i="3"/>
  <c r="L15" i="11" s="1"/>
  <c r="K15" i="11" s="1"/>
  <c r="CY74" i="3"/>
  <c r="CZ74" i="3"/>
  <c r="DB74" i="3" s="1"/>
  <c r="DA74" i="3"/>
  <c r="DC74" i="3"/>
  <c r="A75" i="3"/>
  <c r="CX75" i="3"/>
  <c r="L27" i="11" s="1"/>
  <c r="K27" i="11" s="1"/>
  <c r="CY75" i="3"/>
  <c r="CZ75" i="3"/>
  <c r="DA75" i="3"/>
  <c r="DB75" i="3"/>
  <c r="DC75" i="3"/>
  <c r="A76" i="3"/>
  <c r="CX76" i="3"/>
  <c r="DF76" i="3" s="1"/>
  <c r="CY76" i="3"/>
  <c r="CZ76" i="3"/>
  <c r="DA76" i="3"/>
  <c r="DB76" i="3"/>
  <c r="DC76" i="3"/>
  <c r="A77" i="3"/>
  <c r="CX77" i="3"/>
  <c r="L19" i="11" s="1"/>
  <c r="K19" i="11" s="1"/>
  <c r="CY77" i="3"/>
  <c r="CZ77" i="3"/>
  <c r="DB77" i="3" s="1"/>
  <c r="DA77" i="3"/>
  <c r="DC77" i="3"/>
  <c r="A78" i="3"/>
  <c r="CX78" i="3"/>
  <c r="R18" i="11" s="1"/>
  <c r="CY78" i="3"/>
  <c r="CZ78" i="3"/>
  <c r="DA78" i="3"/>
  <c r="DB78" i="3"/>
  <c r="DC78" i="3"/>
  <c r="A79" i="3"/>
  <c r="Y79" i="3"/>
  <c r="CX79" i="3"/>
  <c r="DF79" i="3" s="1"/>
  <c r="DJ79" i="3" s="1"/>
  <c r="CY79" i="3"/>
  <c r="CZ79" i="3"/>
  <c r="DB79" i="3" s="1"/>
  <c r="DA79" i="3"/>
  <c r="DC79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K24" i="1"/>
  <c r="V24" i="1"/>
  <c r="AC24" i="1"/>
  <c r="CQ24" i="1" s="1"/>
  <c r="P24" i="1" s="1"/>
  <c r="AE24" i="1"/>
  <c r="AF24" i="1"/>
  <c r="CT24" i="1" s="1"/>
  <c r="S24" i="1" s="1"/>
  <c r="AG24" i="1"/>
  <c r="AH24" i="1"/>
  <c r="AI24" i="1"/>
  <c r="AJ24" i="1"/>
  <c r="CX24" i="1" s="1"/>
  <c r="W24" i="1" s="1"/>
  <c r="CU24" i="1"/>
  <c r="T24" i="1" s="1"/>
  <c r="CV24" i="1"/>
  <c r="U24" i="1" s="1"/>
  <c r="CW24" i="1"/>
  <c r="FR24" i="1"/>
  <c r="GL24" i="1"/>
  <c r="GO24" i="1"/>
  <c r="GP24" i="1"/>
  <c r="GV24" i="1"/>
  <c r="HC24" i="1" s="1"/>
  <c r="GX24" i="1" s="1"/>
  <c r="C25" i="1"/>
  <c r="D25" i="1"/>
  <c r="CU3" i="3"/>
  <c r="K25" i="1"/>
  <c r="T25" i="1"/>
  <c r="AC25" i="1"/>
  <c r="CQ25" i="1" s="1"/>
  <c r="P25" i="1" s="1"/>
  <c r="AE25" i="1"/>
  <c r="AD25" i="1" s="1"/>
  <c r="AF25" i="1"/>
  <c r="CT25" i="1" s="1"/>
  <c r="S25" i="1" s="1"/>
  <c r="AG25" i="1"/>
  <c r="AH25" i="1"/>
  <c r="AI25" i="1"/>
  <c r="CW25" i="1" s="1"/>
  <c r="V25" i="1" s="1"/>
  <c r="AJ25" i="1"/>
  <c r="CX25" i="1" s="1"/>
  <c r="W25" i="1" s="1"/>
  <c r="CS25" i="1"/>
  <c r="R25" i="1" s="1"/>
  <c r="CU25" i="1"/>
  <c r="FR25" i="1"/>
  <c r="GL25" i="1"/>
  <c r="GO25" i="1"/>
  <c r="GP25" i="1"/>
  <c r="GV25" i="1"/>
  <c r="HC25" i="1" s="1"/>
  <c r="GX25" i="1" s="1"/>
  <c r="C26" i="1"/>
  <c r="D26" i="1"/>
  <c r="K26" i="1"/>
  <c r="AC26" i="1"/>
  <c r="AE26" i="1"/>
  <c r="AD26" i="1" s="1"/>
  <c r="AF26" i="1"/>
  <c r="AG26" i="1"/>
  <c r="CU26" i="1" s="1"/>
  <c r="T26" i="1" s="1"/>
  <c r="AH26" i="1"/>
  <c r="AI26" i="1"/>
  <c r="AJ26" i="1"/>
  <c r="CQ26" i="1"/>
  <c r="P26" i="1" s="1"/>
  <c r="CR26" i="1"/>
  <c r="Q26" i="1" s="1"/>
  <c r="CS26" i="1"/>
  <c r="R26" i="1" s="1"/>
  <c r="CW26" i="1"/>
  <c r="V26" i="1" s="1"/>
  <c r="CX26" i="1"/>
  <c r="W26" i="1" s="1"/>
  <c r="FR26" i="1"/>
  <c r="GL26" i="1"/>
  <c r="GO26" i="1"/>
  <c r="GP26" i="1"/>
  <c r="GV26" i="1"/>
  <c r="HC26" i="1"/>
  <c r="GX26" i="1" s="1"/>
  <c r="AC27" i="1"/>
  <c r="AD27" i="1"/>
  <c r="AE27" i="1"/>
  <c r="CR27" i="1" s="1"/>
  <c r="Q27" i="1" s="1"/>
  <c r="AF27" i="1"/>
  <c r="AG27" i="1"/>
  <c r="AH27" i="1"/>
  <c r="CV27" i="1" s="1"/>
  <c r="U27" i="1" s="1"/>
  <c r="AI27" i="1"/>
  <c r="CW27" i="1" s="1"/>
  <c r="V27" i="1" s="1"/>
  <c r="AJ27" i="1"/>
  <c r="CX27" i="1" s="1"/>
  <c r="W27" i="1" s="1"/>
  <c r="CS27" i="1"/>
  <c r="R27" i="1" s="1"/>
  <c r="CT27" i="1"/>
  <c r="S27" i="1" s="1"/>
  <c r="CU27" i="1"/>
  <c r="T27" i="1" s="1"/>
  <c r="CY27" i="1"/>
  <c r="X27" i="1" s="1"/>
  <c r="CZ27" i="1"/>
  <c r="Y27" i="1" s="1"/>
  <c r="FR27" i="1"/>
  <c r="GL27" i="1"/>
  <c r="GO27" i="1"/>
  <c r="GP27" i="1"/>
  <c r="GV27" i="1"/>
  <c r="HC27" i="1" s="1"/>
  <c r="GX27" i="1" s="1"/>
  <c r="C28" i="1"/>
  <c r="D28" i="1"/>
  <c r="K29" i="1"/>
  <c r="K28" i="1"/>
  <c r="AC28" i="1"/>
  <c r="AE28" i="1"/>
  <c r="CR28" i="1" s="1"/>
  <c r="Q28" i="1" s="1"/>
  <c r="AF28" i="1"/>
  <c r="CT28" i="1" s="1"/>
  <c r="S28" i="1" s="1"/>
  <c r="AG28" i="1"/>
  <c r="CU28" i="1" s="1"/>
  <c r="T28" i="1" s="1"/>
  <c r="AH28" i="1"/>
  <c r="CV28" i="1" s="1"/>
  <c r="U28" i="1" s="1"/>
  <c r="AI28" i="1"/>
  <c r="AJ28" i="1"/>
  <c r="CW28" i="1"/>
  <c r="V28" i="1" s="1"/>
  <c r="CX28" i="1"/>
  <c r="W28" i="1" s="1"/>
  <c r="FR28" i="1"/>
  <c r="GL28" i="1"/>
  <c r="GO28" i="1"/>
  <c r="GP28" i="1"/>
  <c r="GV28" i="1"/>
  <c r="HC28" i="1"/>
  <c r="GX28" i="1" s="1"/>
  <c r="C29" i="1"/>
  <c r="D29" i="1"/>
  <c r="V29" i="1"/>
  <c r="AC29" i="1"/>
  <c r="CQ29" i="1" s="1"/>
  <c r="P29" i="1" s="1"/>
  <c r="AE29" i="1"/>
  <c r="CR29" i="1" s="1"/>
  <c r="AF29" i="1"/>
  <c r="AG29" i="1"/>
  <c r="CU29" i="1" s="1"/>
  <c r="AH29" i="1"/>
  <c r="AI29" i="1"/>
  <c r="AJ29" i="1"/>
  <c r="CW29" i="1"/>
  <c r="CX29" i="1"/>
  <c r="FR29" i="1"/>
  <c r="GL29" i="1"/>
  <c r="GO29" i="1"/>
  <c r="GP29" i="1"/>
  <c r="GV29" i="1"/>
  <c r="HC29" i="1"/>
  <c r="C30" i="1"/>
  <c r="D30" i="1"/>
  <c r="K30" i="1"/>
  <c r="W30" i="1"/>
  <c r="AC30" i="1"/>
  <c r="AE30" i="1"/>
  <c r="CS30" i="1" s="1"/>
  <c r="R30" i="1" s="1"/>
  <c r="AF30" i="1"/>
  <c r="AG30" i="1"/>
  <c r="AH30" i="1"/>
  <c r="AI30" i="1"/>
  <c r="CW30" i="1" s="1"/>
  <c r="V30" i="1" s="1"/>
  <c r="AJ30" i="1"/>
  <c r="CU30" i="1"/>
  <c r="T30" i="1" s="1"/>
  <c r="CX30" i="1"/>
  <c r="FR30" i="1"/>
  <c r="GL30" i="1"/>
  <c r="GN30" i="1"/>
  <c r="GP30" i="1"/>
  <c r="GV30" i="1"/>
  <c r="HC30" i="1" s="1"/>
  <c r="GX30" i="1" s="1"/>
  <c r="C31" i="1"/>
  <c r="D31" i="1"/>
  <c r="K31" i="1"/>
  <c r="AC31" i="1"/>
  <c r="AE31" i="1"/>
  <c r="AF31" i="1"/>
  <c r="AG31" i="1"/>
  <c r="CU31" i="1" s="1"/>
  <c r="T31" i="1" s="1"/>
  <c r="AH31" i="1"/>
  <c r="AI31" i="1"/>
  <c r="AJ31" i="1"/>
  <c r="CW31" i="1"/>
  <c r="V31" i="1" s="1"/>
  <c r="CX31" i="1"/>
  <c r="W31" i="1" s="1"/>
  <c r="FR31" i="1"/>
  <c r="GL31" i="1"/>
  <c r="GN31" i="1"/>
  <c r="GP31" i="1"/>
  <c r="GV31" i="1"/>
  <c r="HC31" i="1"/>
  <c r="GX31" i="1" s="1"/>
  <c r="AC32" i="1"/>
  <c r="AE32" i="1"/>
  <c r="AF32" i="1"/>
  <c r="CT32" i="1" s="1"/>
  <c r="S32" i="1" s="1"/>
  <c r="AG32" i="1"/>
  <c r="CU32" i="1" s="1"/>
  <c r="T32" i="1" s="1"/>
  <c r="AH32" i="1"/>
  <c r="CV32" i="1" s="1"/>
  <c r="U32" i="1" s="1"/>
  <c r="AI32" i="1"/>
  <c r="AJ32" i="1"/>
  <c r="CW32" i="1"/>
  <c r="V32" i="1" s="1"/>
  <c r="CX32" i="1"/>
  <c r="W32" i="1" s="1"/>
  <c r="FR32" i="1"/>
  <c r="GL32" i="1"/>
  <c r="GN32" i="1"/>
  <c r="GO32" i="1"/>
  <c r="GV32" i="1"/>
  <c r="HC32" i="1"/>
  <c r="GX32" i="1" s="1"/>
  <c r="C33" i="1"/>
  <c r="D33" i="1"/>
  <c r="K33" i="1"/>
  <c r="AC33" i="1"/>
  <c r="AD33" i="1"/>
  <c r="AE33" i="1"/>
  <c r="CR33" i="1" s="1"/>
  <c r="Q33" i="1" s="1"/>
  <c r="AF33" i="1"/>
  <c r="AG33" i="1"/>
  <c r="AH33" i="1"/>
  <c r="AI33" i="1"/>
  <c r="CW33" i="1" s="1"/>
  <c r="V33" i="1" s="1"/>
  <c r="AJ33" i="1"/>
  <c r="CX33" i="1" s="1"/>
  <c r="W33" i="1" s="1"/>
  <c r="CU33" i="1"/>
  <c r="T33" i="1" s="1"/>
  <c r="FR33" i="1"/>
  <c r="GL33" i="1"/>
  <c r="GO33" i="1"/>
  <c r="GP33" i="1"/>
  <c r="GV33" i="1"/>
  <c r="HC33" i="1" s="1"/>
  <c r="GX33" i="1" s="1"/>
  <c r="I34" i="1"/>
  <c r="X34" i="1"/>
  <c r="AC34" i="1"/>
  <c r="AD34" i="1"/>
  <c r="AE34" i="1"/>
  <c r="CR34" i="1" s="1"/>
  <c r="AF34" i="1"/>
  <c r="CT34" i="1" s="1"/>
  <c r="AG34" i="1"/>
  <c r="AH34" i="1"/>
  <c r="CV34" i="1" s="1"/>
  <c r="AI34" i="1"/>
  <c r="AJ34" i="1"/>
  <c r="CX34" i="1" s="1"/>
  <c r="CU34" i="1"/>
  <c r="CW34" i="1"/>
  <c r="CY34" i="1"/>
  <c r="CZ34" i="1"/>
  <c r="Y34" i="1" s="1"/>
  <c r="FR34" i="1"/>
  <c r="GL34" i="1"/>
  <c r="GO34" i="1"/>
  <c r="GP34" i="1"/>
  <c r="GV34" i="1"/>
  <c r="HC34" i="1" s="1"/>
  <c r="I35" i="1"/>
  <c r="X35" i="1"/>
  <c r="Y35" i="1"/>
  <c r="AC35" i="1"/>
  <c r="AE35" i="1"/>
  <c r="AF35" i="1"/>
  <c r="CT35" i="1" s="1"/>
  <c r="AG35" i="1"/>
  <c r="CU35" i="1" s="1"/>
  <c r="AH35" i="1"/>
  <c r="CV35" i="1" s="1"/>
  <c r="AI35" i="1"/>
  <c r="AJ35" i="1"/>
  <c r="CW35" i="1"/>
  <c r="CX35" i="1"/>
  <c r="CY35" i="1"/>
  <c r="CZ35" i="1"/>
  <c r="FR35" i="1"/>
  <c r="GL35" i="1"/>
  <c r="GO35" i="1"/>
  <c r="GP35" i="1"/>
  <c r="GV35" i="1"/>
  <c r="HC35" i="1"/>
  <c r="C36" i="1"/>
  <c r="D36" i="1"/>
  <c r="K36" i="1"/>
  <c r="AC36" i="1"/>
  <c r="AE36" i="1"/>
  <c r="AF36" i="1"/>
  <c r="AG36" i="1"/>
  <c r="AH36" i="1"/>
  <c r="AI36" i="1"/>
  <c r="CW36" i="1" s="1"/>
  <c r="V36" i="1" s="1"/>
  <c r="AJ36" i="1"/>
  <c r="CX36" i="1" s="1"/>
  <c r="W36" i="1" s="1"/>
  <c r="CU36" i="1"/>
  <c r="T36" i="1" s="1"/>
  <c r="FR36" i="1"/>
  <c r="GL36" i="1"/>
  <c r="GN36" i="1"/>
  <c r="GP36" i="1"/>
  <c r="GV36" i="1"/>
  <c r="HC36" i="1" s="1"/>
  <c r="GX36" i="1" s="1"/>
  <c r="C37" i="1"/>
  <c r="D37" i="1"/>
  <c r="K37" i="1"/>
  <c r="AC37" i="1"/>
  <c r="AE37" i="1"/>
  <c r="CS37" i="1" s="1"/>
  <c r="AF37" i="1"/>
  <c r="AG37" i="1"/>
  <c r="CU37" i="1" s="1"/>
  <c r="T37" i="1" s="1"/>
  <c r="AH37" i="1"/>
  <c r="AI37" i="1"/>
  <c r="CW37" i="1" s="1"/>
  <c r="AJ37" i="1"/>
  <c r="CX37" i="1"/>
  <c r="FR37" i="1"/>
  <c r="GL37" i="1"/>
  <c r="GN37" i="1"/>
  <c r="GP37" i="1"/>
  <c r="GV37" i="1"/>
  <c r="HC37" i="1"/>
  <c r="C38" i="1"/>
  <c r="D38" i="1"/>
  <c r="K38" i="1"/>
  <c r="W38" i="1"/>
  <c r="AC38" i="1"/>
  <c r="AE38" i="1"/>
  <c r="AF38" i="1"/>
  <c r="AG38" i="1"/>
  <c r="CU38" i="1" s="1"/>
  <c r="T38" i="1" s="1"/>
  <c r="AH38" i="1"/>
  <c r="AI38" i="1"/>
  <c r="AJ38" i="1"/>
  <c r="CW38" i="1"/>
  <c r="V38" i="1" s="1"/>
  <c r="CX38" i="1"/>
  <c r="FR38" i="1"/>
  <c r="GL38" i="1"/>
  <c r="GN38" i="1"/>
  <c r="GP38" i="1"/>
  <c r="GV38" i="1"/>
  <c r="GX38" i="1"/>
  <c r="HC38" i="1"/>
  <c r="C39" i="1"/>
  <c r="D39" i="1"/>
  <c r="K39" i="1"/>
  <c r="AC39" i="1"/>
  <c r="AE39" i="1"/>
  <c r="AF39" i="1"/>
  <c r="CT39" i="1" s="1"/>
  <c r="S39" i="1" s="1"/>
  <c r="AG39" i="1"/>
  <c r="AH39" i="1"/>
  <c r="AI39" i="1"/>
  <c r="CW39" i="1" s="1"/>
  <c r="V39" i="1" s="1"/>
  <c r="AJ39" i="1"/>
  <c r="CX39" i="1" s="1"/>
  <c r="W39" i="1" s="1"/>
  <c r="CU39" i="1"/>
  <c r="T39" i="1" s="1"/>
  <c r="FR39" i="1"/>
  <c r="GL39" i="1"/>
  <c r="GN39" i="1"/>
  <c r="GP39" i="1"/>
  <c r="GV39" i="1"/>
  <c r="HC39" i="1" s="1"/>
  <c r="GX39" i="1" s="1"/>
  <c r="W40" i="1"/>
  <c r="X40" i="1"/>
  <c r="Y40" i="1"/>
  <c r="AC40" i="1"/>
  <c r="CQ40" i="1" s="1"/>
  <c r="P40" i="1" s="1"/>
  <c r="AE40" i="1"/>
  <c r="AF40" i="1"/>
  <c r="CT40" i="1" s="1"/>
  <c r="S40" i="1" s="1"/>
  <c r="AG40" i="1"/>
  <c r="CU40" i="1" s="1"/>
  <c r="T40" i="1" s="1"/>
  <c r="AH40" i="1"/>
  <c r="CV40" i="1" s="1"/>
  <c r="U40" i="1" s="1"/>
  <c r="AI40" i="1"/>
  <c r="AJ40" i="1"/>
  <c r="CW40" i="1"/>
  <c r="V40" i="1" s="1"/>
  <c r="CX40" i="1"/>
  <c r="CY40" i="1"/>
  <c r="CZ40" i="1"/>
  <c r="FR40" i="1"/>
  <c r="GL40" i="1"/>
  <c r="GN40" i="1"/>
  <c r="GP40" i="1"/>
  <c r="GV40" i="1"/>
  <c r="GX40" i="1"/>
  <c r="HC40" i="1"/>
  <c r="AC41" i="1"/>
  <c r="AE41" i="1"/>
  <c r="AD41" i="1" s="1"/>
  <c r="AF41" i="1"/>
  <c r="CT41" i="1" s="1"/>
  <c r="S41" i="1" s="1"/>
  <c r="AG41" i="1"/>
  <c r="CU41" i="1" s="1"/>
  <c r="T41" i="1" s="1"/>
  <c r="AH41" i="1"/>
  <c r="CV41" i="1" s="1"/>
  <c r="U41" i="1" s="1"/>
  <c r="AI41" i="1"/>
  <c r="CW41" i="1" s="1"/>
  <c r="V41" i="1" s="1"/>
  <c r="AJ41" i="1"/>
  <c r="CR41" i="1"/>
  <c r="Q41" i="1" s="1"/>
  <c r="CS41" i="1"/>
  <c r="R41" i="1" s="1"/>
  <c r="CX41" i="1"/>
  <c r="W41" i="1" s="1"/>
  <c r="FR41" i="1"/>
  <c r="GL41" i="1"/>
  <c r="GO41" i="1"/>
  <c r="GP41" i="1"/>
  <c r="GV41" i="1"/>
  <c r="HC41" i="1"/>
  <c r="GX41" i="1" s="1"/>
  <c r="C42" i="1"/>
  <c r="D42" i="1"/>
  <c r="AC42" i="1"/>
  <c r="CQ42" i="1" s="1"/>
  <c r="P42" i="1" s="1"/>
  <c r="AE42" i="1"/>
  <c r="AF42" i="1"/>
  <c r="AG42" i="1"/>
  <c r="CU42" i="1" s="1"/>
  <c r="T42" i="1" s="1"/>
  <c r="AH42" i="1"/>
  <c r="AI42" i="1"/>
  <c r="AJ42" i="1"/>
  <c r="CW42" i="1"/>
  <c r="V42" i="1" s="1"/>
  <c r="CX42" i="1"/>
  <c r="W42" i="1" s="1"/>
  <c r="FR42" i="1"/>
  <c r="GL42" i="1"/>
  <c r="GN42" i="1"/>
  <c r="GP42" i="1"/>
  <c r="GV42" i="1"/>
  <c r="HC42" i="1"/>
  <c r="GX42" i="1" s="1"/>
  <c r="I43" i="1"/>
  <c r="AC43" i="1"/>
  <c r="AE43" i="1"/>
  <c r="AD43" i="1" s="1"/>
  <c r="AF43" i="1"/>
  <c r="CT43" i="1" s="1"/>
  <c r="AG43" i="1"/>
  <c r="CU43" i="1" s="1"/>
  <c r="AH43" i="1"/>
  <c r="CV43" i="1" s="1"/>
  <c r="AI43" i="1"/>
  <c r="CW43" i="1" s="1"/>
  <c r="AJ43" i="1"/>
  <c r="CR43" i="1"/>
  <c r="CS43" i="1"/>
  <c r="CX43" i="1"/>
  <c r="FR43" i="1"/>
  <c r="GL43" i="1"/>
  <c r="GO43" i="1"/>
  <c r="GP43" i="1"/>
  <c r="GV43" i="1"/>
  <c r="HC43" i="1"/>
  <c r="B45" i="1"/>
  <c r="B22" i="1" s="1"/>
  <c r="C45" i="1"/>
  <c r="C22" i="1" s="1"/>
  <c r="D45" i="1"/>
  <c r="D22" i="1" s="1"/>
  <c r="F45" i="1"/>
  <c r="F22" i="1" s="1"/>
  <c r="G45" i="1"/>
  <c r="G22" i="1" s="1"/>
  <c r="BC45" i="1"/>
  <c r="BC22" i="1" s="1"/>
  <c r="BX45" i="1"/>
  <c r="BX22" i="1" s="1"/>
  <c r="CK45" i="1"/>
  <c r="CK22" i="1" s="1"/>
  <c r="CL45" i="1"/>
  <c r="CL22" i="1" s="1"/>
  <c r="CM45" i="1"/>
  <c r="CM22" i="1" s="1"/>
  <c r="B75" i="1"/>
  <c r="B18" i="1" s="1"/>
  <c r="C75" i="1"/>
  <c r="C18" i="1" s="1"/>
  <c r="D75" i="1"/>
  <c r="D18" i="1" s="1"/>
  <c r="F75" i="1"/>
  <c r="F18" i="1" s="1"/>
  <c r="G75" i="1"/>
  <c r="G18" i="1" s="1"/>
  <c r="BC75" i="1"/>
  <c r="BC18" i="1" s="1"/>
  <c r="F12" i="6"/>
  <c r="G12" i="6"/>
  <c r="CY12" i="6"/>
  <c r="CR30" i="1" l="1"/>
  <c r="Q30" i="1" s="1"/>
  <c r="DF78" i="3"/>
  <c r="I68" i="17"/>
  <c r="I31" i="17"/>
  <c r="FI14" i="8"/>
  <c r="I38" i="17"/>
  <c r="W43" i="1"/>
  <c r="H37" i="17"/>
  <c r="J37" i="17" s="1"/>
  <c r="H35" i="17"/>
  <c r="I35" i="17" s="1"/>
  <c r="G50" i="17"/>
  <c r="G51" i="17"/>
  <c r="G52" i="17"/>
  <c r="G49" i="17"/>
  <c r="H67" i="17"/>
  <c r="J67" i="17" s="1"/>
  <c r="G66" i="17"/>
  <c r="G61" i="17"/>
  <c r="G65" i="17"/>
  <c r="G62" i="17"/>
  <c r="G63" i="17"/>
  <c r="G64" i="17"/>
  <c r="G58" i="17"/>
  <c r="G59" i="17"/>
  <c r="G54" i="17"/>
  <c r="G55" i="17"/>
  <c r="G57" i="17"/>
  <c r="G56" i="17"/>
  <c r="G40" i="17"/>
  <c r="G41" i="17"/>
  <c r="G42" i="17"/>
  <c r="G47" i="17"/>
  <c r="G44" i="17"/>
  <c r="G45" i="17"/>
  <c r="G46" i="17"/>
  <c r="GX43" i="1"/>
  <c r="G72" i="17"/>
  <c r="G71" i="17"/>
  <c r="G73" i="17"/>
  <c r="G74" i="17"/>
  <c r="G75" i="17"/>
  <c r="G70" i="17"/>
  <c r="L26" i="11"/>
  <c r="K26" i="11" s="1"/>
  <c r="DG76" i="3"/>
  <c r="P25" i="11"/>
  <c r="DF75" i="3"/>
  <c r="W35" i="1"/>
  <c r="L31" i="11"/>
  <c r="K31" i="11" s="1"/>
  <c r="V43" i="1"/>
  <c r="S43" i="1"/>
  <c r="U43" i="1"/>
  <c r="CV42" i="1"/>
  <c r="U42" i="1" s="1"/>
  <c r="DG71" i="3"/>
  <c r="R43" i="1"/>
  <c r="CT42" i="1"/>
  <c r="S42" i="1" s="1"/>
  <c r="Q43" i="1"/>
  <c r="AD42" i="1"/>
  <c r="AB43" i="1"/>
  <c r="DG78" i="3"/>
  <c r="HG43" i="1"/>
  <c r="CR42" i="1"/>
  <c r="Q42" i="1" s="1"/>
  <c r="CS42" i="1"/>
  <c r="R42" i="1" s="1"/>
  <c r="DG70" i="3"/>
  <c r="DF70" i="3"/>
  <c r="T43" i="1"/>
  <c r="DG75" i="3"/>
  <c r="V35" i="1"/>
  <c r="S35" i="1"/>
  <c r="HG41" i="1"/>
  <c r="AD39" i="1"/>
  <c r="CV39" i="1"/>
  <c r="U39" i="1" s="1"/>
  <c r="CT38" i="1"/>
  <c r="S38" i="1" s="1"/>
  <c r="CQ38" i="1"/>
  <c r="P38" i="1" s="1"/>
  <c r="CV38" i="1"/>
  <c r="U38" i="1" s="1"/>
  <c r="CQ37" i="1"/>
  <c r="P37" i="1" s="1"/>
  <c r="U35" i="1"/>
  <c r="AD37" i="1"/>
  <c r="CV37" i="1"/>
  <c r="U37" i="1" s="1"/>
  <c r="CT37" i="1"/>
  <c r="S37" i="1" s="1"/>
  <c r="T35" i="1"/>
  <c r="CR37" i="1"/>
  <c r="Q37" i="1" s="1"/>
  <c r="CV36" i="1"/>
  <c r="U36" i="1" s="1"/>
  <c r="CT36" i="1"/>
  <c r="S36" i="1" s="1"/>
  <c r="CR36" i="1"/>
  <c r="Q36" i="1" s="1"/>
  <c r="AD36" i="1"/>
  <c r="AB36" i="1" s="1"/>
  <c r="GX35" i="1"/>
  <c r="AB34" i="1"/>
  <c r="CT33" i="1"/>
  <c r="S33" i="1" s="1"/>
  <c r="CQ35" i="1"/>
  <c r="P35" i="1" s="1"/>
  <c r="CV33" i="1"/>
  <c r="U33" i="1" s="1"/>
  <c r="CQ34" i="1"/>
  <c r="P34" i="1" s="1"/>
  <c r="Q34" i="1"/>
  <c r="W34" i="1"/>
  <c r="GX34" i="1"/>
  <c r="U34" i="1"/>
  <c r="V34" i="1"/>
  <c r="T34" i="1"/>
  <c r="S34" i="1"/>
  <c r="CQ32" i="1"/>
  <c r="P32" i="1" s="1"/>
  <c r="HG32" i="1"/>
  <c r="CQ31" i="1"/>
  <c r="P31" i="1" s="1"/>
  <c r="CV31" i="1"/>
  <c r="U31" i="1" s="1"/>
  <c r="CT31" i="1"/>
  <c r="S31" i="1" s="1"/>
  <c r="AD31" i="1"/>
  <c r="AB31" i="1" s="1"/>
  <c r="CS31" i="1"/>
  <c r="R31" i="1" s="1"/>
  <c r="CR31" i="1"/>
  <c r="Q31" i="1" s="1"/>
  <c r="CV30" i="1"/>
  <c r="U30" i="1" s="1"/>
  <c r="CT30" i="1"/>
  <c r="S30" i="1" s="1"/>
  <c r="CZ30" i="1" s="1"/>
  <c r="Y30" i="1" s="1"/>
  <c r="AD30" i="1"/>
  <c r="CQ30" i="1"/>
  <c r="P30" i="1" s="1"/>
  <c r="CV29" i="1"/>
  <c r="U29" i="1" s="1"/>
  <c r="CT29" i="1"/>
  <c r="S29" i="1" s="1"/>
  <c r="CS29" i="1"/>
  <c r="R29" i="1" s="1"/>
  <c r="AD28" i="1"/>
  <c r="CS28" i="1"/>
  <c r="R28" i="1" s="1"/>
  <c r="T29" i="1"/>
  <c r="Q29" i="1"/>
  <c r="GX29" i="1"/>
  <c r="W29" i="1"/>
  <c r="CQ27" i="1"/>
  <c r="P27" i="1" s="1"/>
  <c r="AB27" i="1"/>
  <c r="CT26" i="1"/>
  <c r="S26" i="1" s="1"/>
  <c r="CZ26" i="1" s="1"/>
  <c r="Y26" i="1" s="1"/>
  <c r="CV26" i="1"/>
  <c r="U26" i="1" s="1"/>
  <c r="AB26" i="1"/>
  <c r="CV25" i="1"/>
  <c r="U25" i="1" s="1"/>
  <c r="AB25" i="1"/>
  <c r="CY25" i="1"/>
  <c r="X25" i="1" s="1"/>
  <c r="CS24" i="1"/>
  <c r="R24" i="1" s="1"/>
  <c r="AD24" i="1"/>
  <c r="AB24" i="1" s="1"/>
  <c r="CR24" i="1"/>
  <c r="Q24" i="1" s="1"/>
  <c r="DF26" i="3"/>
  <c r="DG26" i="3"/>
  <c r="F91" i="1"/>
  <c r="AB41" i="1"/>
  <c r="CQ36" i="1"/>
  <c r="P36" i="1" s="1"/>
  <c r="CQ33" i="1"/>
  <c r="P33" i="1" s="1"/>
  <c r="AB33" i="1"/>
  <c r="BZ45" i="1"/>
  <c r="CG45" i="1" s="1"/>
  <c r="R37" i="1"/>
  <c r="CR38" i="1"/>
  <c r="Q38" i="1" s="1"/>
  <c r="CS38" i="1"/>
  <c r="R38" i="1" s="1"/>
  <c r="AD38" i="1"/>
  <c r="AB38" i="1" s="1"/>
  <c r="CR32" i="1"/>
  <c r="Q32" i="1" s="1"/>
  <c r="CS32" i="1"/>
  <c r="R32" i="1" s="1"/>
  <c r="AD32" i="1"/>
  <c r="AB32" i="1" s="1"/>
  <c r="BY45" i="1"/>
  <c r="CW38" i="3"/>
  <c r="CW41" i="3"/>
  <c r="CX38" i="3"/>
  <c r="CX41" i="3"/>
  <c r="CU36" i="3"/>
  <c r="CX43" i="3"/>
  <c r="M29" i="11" s="1"/>
  <c r="CX37" i="3"/>
  <c r="CX45" i="3"/>
  <c r="O18" i="11" s="1"/>
  <c r="CQ39" i="1"/>
  <c r="P39" i="1" s="1"/>
  <c r="F61" i="1"/>
  <c r="CY41" i="1"/>
  <c r="X41" i="1" s="1"/>
  <c r="CZ41" i="1"/>
  <c r="Y41" i="1" s="1"/>
  <c r="V37" i="1"/>
  <c r="CR35" i="1"/>
  <c r="Q35" i="1" s="1"/>
  <c r="CS35" i="1"/>
  <c r="R35" i="1" s="1"/>
  <c r="AD35" i="1"/>
  <c r="AB35" i="1" s="1"/>
  <c r="CR40" i="1"/>
  <c r="Q40" i="1" s="1"/>
  <c r="CP40" i="1" s="1"/>
  <c r="O40" i="1" s="1"/>
  <c r="GM40" i="1" s="1"/>
  <c r="GO40" i="1" s="1"/>
  <c r="CS40" i="1"/>
  <c r="R40" i="1" s="1"/>
  <c r="AD40" i="1"/>
  <c r="AB40" i="1" s="1"/>
  <c r="GX37" i="1"/>
  <c r="W37" i="1"/>
  <c r="BB45" i="1"/>
  <c r="CQ43" i="1"/>
  <c r="P43" i="1" s="1"/>
  <c r="CQ41" i="1"/>
  <c r="P41" i="1" s="1"/>
  <c r="CS39" i="1"/>
  <c r="R39" i="1" s="1"/>
  <c r="CS36" i="1"/>
  <c r="R36" i="1" s="1"/>
  <c r="CS33" i="1"/>
  <c r="R33" i="1" s="1"/>
  <c r="CX9" i="3"/>
  <c r="CU7" i="3"/>
  <c r="CW10" i="3"/>
  <c r="CV7" i="3"/>
  <c r="CX10" i="3"/>
  <c r="CX7" i="3"/>
  <c r="CW9" i="3"/>
  <c r="CQ28" i="1"/>
  <c r="P28" i="1" s="1"/>
  <c r="DF77" i="3"/>
  <c r="DG77" i="3"/>
  <c r="AO45" i="1"/>
  <c r="CR39" i="1"/>
  <c r="Q39" i="1" s="1"/>
  <c r="CU58" i="3"/>
  <c r="CX58" i="3"/>
  <c r="CV58" i="3"/>
  <c r="CW61" i="3"/>
  <c r="CX65" i="3"/>
  <c r="M30" i="11" s="1"/>
  <c r="CX67" i="3"/>
  <c r="M23" i="11" s="1"/>
  <c r="CX61" i="3"/>
  <c r="CX64" i="3"/>
  <c r="O25" i="11" s="1"/>
  <c r="CX68" i="3"/>
  <c r="O24" i="11" s="1"/>
  <c r="CX59" i="3"/>
  <c r="CW30" i="3"/>
  <c r="CX34" i="3"/>
  <c r="L24" i="11" s="1"/>
  <c r="CX27" i="3"/>
  <c r="CX30" i="3"/>
  <c r="CX35" i="3"/>
  <c r="N18" i="11" s="1"/>
  <c r="CU26" i="3"/>
  <c r="CX33" i="3"/>
  <c r="L29" i="11" s="1"/>
  <c r="CS34" i="1"/>
  <c r="R34" i="1" s="1"/>
  <c r="CX22" i="3"/>
  <c r="L16" i="11" s="1"/>
  <c r="K16" i="11" s="1"/>
  <c r="CU21" i="3"/>
  <c r="CX25" i="3"/>
  <c r="CU16" i="3"/>
  <c r="CV16" i="3"/>
  <c r="CX19" i="3"/>
  <c r="CX16" i="3"/>
  <c r="CX17" i="3"/>
  <c r="CX66" i="3"/>
  <c r="M32" i="11" s="1"/>
  <c r="AD29" i="1"/>
  <c r="DF72" i="3"/>
  <c r="DG72" i="3"/>
  <c r="CX69" i="3"/>
  <c r="Q18" i="11" s="1"/>
  <c r="CU46" i="3"/>
  <c r="CW49" i="3"/>
  <c r="CX52" i="3"/>
  <c r="N25" i="11" s="1"/>
  <c r="CV46" i="3"/>
  <c r="CX46" i="3"/>
  <c r="CX47" i="3"/>
  <c r="CX55" i="3"/>
  <c r="L23" i="11" s="1"/>
  <c r="CX57" i="3"/>
  <c r="P18" i="11" s="1"/>
  <c r="CX49" i="3"/>
  <c r="CX53" i="3"/>
  <c r="L30" i="11" s="1"/>
  <c r="CZ25" i="1"/>
  <c r="Y25" i="1" s="1"/>
  <c r="DG79" i="3"/>
  <c r="DF74" i="3"/>
  <c r="DG74" i="3"/>
  <c r="BD45" i="1"/>
  <c r="DG73" i="3"/>
  <c r="DG62" i="3"/>
  <c r="CW13" i="3"/>
  <c r="CX13" i="3"/>
  <c r="CU11" i="3"/>
  <c r="CW14" i="3"/>
  <c r="CX11" i="3"/>
  <c r="CX15" i="3"/>
  <c r="L18" i="11" s="1"/>
  <c r="CR25" i="1"/>
  <c r="Q25" i="1" s="1"/>
  <c r="CW62" i="3"/>
  <c r="CX54" i="3"/>
  <c r="L32" i="11" s="1"/>
  <c r="CW50" i="3"/>
  <c r="CX50" i="3"/>
  <c r="CX44" i="3"/>
  <c r="M24" i="11" s="1"/>
  <c r="CX8" i="3"/>
  <c r="CW63" i="3"/>
  <c r="CX63" i="3"/>
  <c r="CX24" i="3"/>
  <c r="CX23" i="3"/>
  <c r="L17" i="11" s="1"/>
  <c r="K17" i="11" s="1"/>
  <c r="CX1" i="3"/>
  <c r="CX2" i="3"/>
  <c r="CW60" i="3"/>
  <c r="CX60" i="3"/>
  <c r="CX42" i="3"/>
  <c r="M25" i="11" s="1"/>
  <c r="CW40" i="3"/>
  <c r="CV21" i="3"/>
  <c r="CX14" i="3"/>
  <c r="CX5" i="3"/>
  <c r="CX56" i="3"/>
  <c r="N24" i="11" s="1"/>
  <c r="CW48" i="3"/>
  <c r="CW39" i="3"/>
  <c r="CV36" i="3"/>
  <c r="CX32" i="3"/>
  <c r="L25" i="11" s="1"/>
  <c r="CX20" i="3"/>
  <c r="M18" i="11" s="1"/>
  <c r="CW19" i="3"/>
  <c r="CX12" i="3"/>
  <c r="CX3" i="3"/>
  <c r="CX6" i="3"/>
  <c r="CW6" i="3"/>
  <c r="CU4" i="3"/>
  <c r="CV4" i="3"/>
  <c r="CX4" i="3"/>
  <c r="CW51" i="3"/>
  <c r="CW31" i="3"/>
  <c r="CW29" i="3"/>
  <c r="CW18" i="3"/>
  <c r="CV11" i="3"/>
  <c r="CW2" i="3"/>
  <c r="CX51" i="3"/>
  <c r="CX48" i="3"/>
  <c r="CX40" i="3"/>
  <c r="CX29" i="3"/>
  <c r="CV26" i="3"/>
  <c r="CX21" i="3"/>
  <c r="CX18" i="3"/>
  <c r="CV3" i="3"/>
  <c r="CX36" i="3"/>
  <c r="CX39" i="3"/>
  <c r="CX31" i="3"/>
  <c r="CX28" i="3"/>
  <c r="K30" i="11" l="1"/>
  <c r="AB39" i="1"/>
  <c r="CP42" i="1"/>
  <c r="O42" i="1" s="1"/>
  <c r="CP32" i="1"/>
  <c r="O32" i="1" s="1"/>
  <c r="J35" i="17"/>
  <c r="H71" i="17"/>
  <c r="J71" i="17" s="1"/>
  <c r="H47" i="17"/>
  <c r="J47" i="17" s="1"/>
  <c r="H55" i="17"/>
  <c r="J55" i="17" s="1"/>
  <c r="H62" i="17"/>
  <c r="I62" i="17" s="1"/>
  <c r="I67" i="17"/>
  <c r="EY14" i="8"/>
  <c r="H72" i="17"/>
  <c r="I72" i="17" s="1"/>
  <c r="H42" i="17"/>
  <c r="J42" i="17" s="1"/>
  <c r="H54" i="17"/>
  <c r="J54" i="17" s="1"/>
  <c r="H65" i="17"/>
  <c r="J65" i="17" s="1"/>
  <c r="H49" i="17"/>
  <c r="I49" i="17" s="1"/>
  <c r="H70" i="17"/>
  <c r="J70" i="17" s="1"/>
  <c r="H41" i="17"/>
  <c r="I41" i="17" s="1"/>
  <c r="H59" i="17"/>
  <c r="I59" i="17" s="1"/>
  <c r="H61" i="17"/>
  <c r="I61" i="17" s="1"/>
  <c r="H52" i="17"/>
  <c r="I52" i="17" s="1"/>
  <c r="H75" i="17"/>
  <c r="I75" i="17" s="1"/>
  <c r="H46" i="17"/>
  <c r="J46" i="17" s="1"/>
  <c r="H40" i="17"/>
  <c r="I40" i="17" s="1"/>
  <c r="H58" i="17"/>
  <c r="I58" i="17" s="1"/>
  <c r="H66" i="17"/>
  <c r="I66" i="17" s="1"/>
  <c r="H51" i="17"/>
  <c r="I51" i="17" s="1"/>
  <c r="I37" i="17"/>
  <c r="CY43" i="1"/>
  <c r="X43" i="1" s="1"/>
  <c r="H74" i="17"/>
  <c r="I74" i="17" s="1"/>
  <c r="H45" i="17"/>
  <c r="I45" i="17" s="1"/>
  <c r="H56" i="17"/>
  <c r="J56" i="17" s="1"/>
  <c r="H64" i="17"/>
  <c r="J64" i="17" s="1"/>
  <c r="H50" i="17"/>
  <c r="J50" i="17" s="1"/>
  <c r="H73" i="17"/>
  <c r="J73" i="17" s="1"/>
  <c r="H44" i="17"/>
  <c r="J44" i="17" s="1"/>
  <c r="H57" i="17"/>
  <c r="J57" i="17" s="1"/>
  <c r="H63" i="17"/>
  <c r="J63" i="17" s="1"/>
  <c r="K29" i="11"/>
  <c r="K23" i="11"/>
  <c r="CZ43" i="1"/>
  <c r="Y43" i="1" s="1"/>
  <c r="AG45" i="1"/>
  <c r="AG22" i="1" s="1"/>
  <c r="K32" i="11"/>
  <c r="K24" i="11"/>
  <c r="K25" i="11"/>
  <c r="K18" i="11"/>
  <c r="AB42" i="1"/>
  <c r="CP43" i="1"/>
  <c r="O43" i="1" s="1"/>
  <c r="CZ42" i="1"/>
  <c r="Y42" i="1" s="1"/>
  <c r="CY42" i="1"/>
  <c r="X42" i="1" s="1"/>
  <c r="CP41" i="1"/>
  <c r="O41" i="1" s="1"/>
  <c r="GM41" i="1" s="1"/>
  <c r="GN41" i="1" s="1"/>
  <c r="CZ39" i="1"/>
  <c r="Y39" i="1" s="1"/>
  <c r="CP39" i="1"/>
  <c r="O39" i="1" s="1"/>
  <c r="CY39" i="1"/>
  <c r="X39" i="1" s="1"/>
  <c r="CY38" i="1"/>
  <c r="X38" i="1" s="1"/>
  <c r="CP38" i="1"/>
  <c r="O38" i="1" s="1"/>
  <c r="AB30" i="1"/>
  <c r="AB37" i="1"/>
  <c r="AI45" i="1"/>
  <c r="AI22" i="1" s="1"/>
  <c r="CP35" i="1"/>
  <c r="O35" i="1" s="1"/>
  <c r="GM35" i="1" s="1"/>
  <c r="GN35" i="1" s="1"/>
  <c r="CP36" i="1"/>
  <c r="O36" i="1" s="1"/>
  <c r="IO14" i="8"/>
  <c r="CZ36" i="1"/>
  <c r="Y36" i="1" s="1"/>
  <c r="CZ33" i="1"/>
  <c r="Y33" i="1" s="1"/>
  <c r="CP33" i="1"/>
  <c r="O33" i="1" s="1"/>
  <c r="CP34" i="1"/>
  <c r="O34" i="1" s="1"/>
  <c r="GM34" i="1" s="1"/>
  <c r="GN34" i="1" s="1"/>
  <c r="CY28" i="1"/>
  <c r="X28" i="1" s="1"/>
  <c r="CY31" i="1"/>
  <c r="X31" i="1" s="1"/>
  <c r="CY30" i="1"/>
  <c r="X30" i="1" s="1"/>
  <c r="AJ45" i="1"/>
  <c r="AJ22" i="1" s="1"/>
  <c r="CP31" i="1"/>
  <c r="O31" i="1" s="1"/>
  <c r="CZ31" i="1"/>
  <c r="Y31" i="1" s="1"/>
  <c r="CP30" i="1"/>
  <c r="O30" i="1" s="1"/>
  <c r="AB28" i="1"/>
  <c r="CZ29" i="1"/>
  <c r="Y29" i="1" s="1"/>
  <c r="AB29" i="1"/>
  <c r="CP29" i="1"/>
  <c r="O29" i="1" s="1"/>
  <c r="CY29" i="1"/>
  <c r="X29" i="1" s="1"/>
  <c r="CJ45" i="1"/>
  <c r="CJ22" i="1" s="1"/>
  <c r="CP27" i="1"/>
  <c r="O27" i="1" s="1"/>
  <c r="GM27" i="1" s="1"/>
  <c r="GN27" i="1" s="1"/>
  <c r="CZ28" i="1"/>
  <c r="Y28" i="1" s="1"/>
  <c r="CP26" i="1"/>
  <c r="O26" i="1" s="1"/>
  <c r="CY26" i="1"/>
  <c r="X26" i="1" s="1"/>
  <c r="AH45" i="1"/>
  <c r="AH22" i="1" s="1"/>
  <c r="AE45" i="1"/>
  <c r="AE22" i="1" s="1"/>
  <c r="CZ24" i="1"/>
  <c r="Y24" i="1" s="1"/>
  <c r="CY24" i="1"/>
  <c r="X24" i="1" s="1"/>
  <c r="CP24" i="1"/>
  <c r="O24" i="1" s="1"/>
  <c r="CY37" i="1"/>
  <c r="X37" i="1" s="1"/>
  <c r="CZ37" i="1"/>
  <c r="Y37" i="1" s="1"/>
  <c r="DF36" i="3"/>
  <c r="DG36" i="3"/>
  <c r="DF32" i="3"/>
  <c r="DG32" i="3"/>
  <c r="DF2" i="3"/>
  <c r="DG2" i="3"/>
  <c r="DG49" i="3"/>
  <c r="DF49" i="3"/>
  <c r="DG48" i="3"/>
  <c r="DF48" i="3"/>
  <c r="DF30" i="3"/>
  <c r="DG30" i="3"/>
  <c r="DF58" i="3"/>
  <c r="DG58" i="3"/>
  <c r="CY33" i="1"/>
  <c r="X33" i="1" s="1"/>
  <c r="DF38" i="3"/>
  <c r="DG38" i="3"/>
  <c r="DF3" i="3"/>
  <c r="DG3" i="3"/>
  <c r="DF23" i="3"/>
  <c r="DG23" i="3"/>
  <c r="DF13" i="3"/>
  <c r="DG13" i="3"/>
  <c r="DF55" i="3"/>
  <c r="DG55" i="3"/>
  <c r="DF16" i="3"/>
  <c r="DG16" i="3"/>
  <c r="DF22" i="3"/>
  <c r="DG22" i="3"/>
  <c r="DF27" i="3"/>
  <c r="DG27" i="3"/>
  <c r="DG61" i="3"/>
  <c r="DF61" i="3"/>
  <c r="DG45" i="3"/>
  <c r="DF45" i="3"/>
  <c r="BY22" i="1"/>
  <c r="CI45" i="1"/>
  <c r="AP45" i="1"/>
  <c r="CP37" i="1"/>
  <c r="O37" i="1" s="1"/>
  <c r="CY32" i="1"/>
  <c r="X32" i="1" s="1"/>
  <c r="DG40" i="3"/>
  <c r="DF40" i="3"/>
  <c r="DF14" i="3"/>
  <c r="DG14" i="3"/>
  <c r="DF52" i="3"/>
  <c r="DG52" i="3"/>
  <c r="DF35" i="3"/>
  <c r="DG35" i="3"/>
  <c r="DF10" i="3"/>
  <c r="DG10" i="3"/>
  <c r="DF41" i="3"/>
  <c r="DG41" i="3"/>
  <c r="CY36" i="1"/>
  <c r="X36" i="1" s="1"/>
  <c r="DF6" i="3"/>
  <c r="DG6" i="3"/>
  <c r="DF1" i="3"/>
  <c r="DG1" i="3"/>
  <c r="DG57" i="3"/>
  <c r="DF57" i="3"/>
  <c r="DF17" i="3"/>
  <c r="DG17" i="3"/>
  <c r="DF64" i="3"/>
  <c r="DG64" i="3"/>
  <c r="DG18" i="3"/>
  <c r="DF18" i="3"/>
  <c r="DF50" i="3"/>
  <c r="DG50" i="3"/>
  <c r="DF28" i="3"/>
  <c r="DG28" i="3"/>
  <c r="DF12" i="3"/>
  <c r="DG12" i="3"/>
  <c r="DF42" i="3"/>
  <c r="DG42" i="3"/>
  <c r="DF24" i="3"/>
  <c r="DG24" i="3"/>
  <c r="AD45" i="1"/>
  <c r="CP25" i="1"/>
  <c r="O25" i="1" s="1"/>
  <c r="GM25" i="1" s="1"/>
  <c r="GN25" i="1" s="1"/>
  <c r="DF47" i="3"/>
  <c r="DG47" i="3"/>
  <c r="DF69" i="3"/>
  <c r="DG69" i="3"/>
  <c r="DF19" i="3"/>
  <c r="DG19" i="3"/>
  <c r="DF34" i="3"/>
  <c r="DG34" i="3"/>
  <c r="DF67" i="3"/>
  <c r="DG67" i="3"/>
  <c r="CP28" i="1"/>
  <c r="O28" i="1" s="1"/>
  <c r="AC45" i="1"/>
  <c r="DG37" i="3"/>
  <c r="DF37" i="3"/>
  <c r="CZ38" i="1"/>
  <c r="Y38" i="1" s="1"/>
  <c r="DG29" i="3"/>
  <c r="DF29" i="3"/>
  <c r="DF5" i="3"/>
  <c r="DG5" i="3"/>
  <c r="DG11" i="3"/>
  <c r="DF11" i="3"/>
  <c r="BD75" i="1"/>
  <c r="F70" i="1"/>
  <c r="BD22" i="1"/>
  <c r="DG59" i="3"/>
  <c r="DF59" i="3"/>
  <c r="DF7" i="3"/>
  <c r="DG7" i="3"/>
  <c r="DF8" i="3"/>
  <c r="DG8" i="3"/>
  <c r="DF68" i="3"/>
  <c r="DG68" i="3"/>
  <c r="BZ22" i="1"/>
  <c r="AQ45" i="1"/>
  <c r="DF44" i="3"/>
  <c r="DG44" i="3"/>
  <c r="CZ32" i="1"/>
  <c r="Y32" i="1" s="1"/>
  <c r="DG51" i="3"/>
  <c r="DF51" i="3"/>
  <c r="DG21" i="3"/>
  <c r="DF21" i="3"/>
  <c r="DF4" i="3"/>
  <c r="DG4" i="3"/>
  <c r="DF31" i="3"/>
  <c r="DG31" i="3"/>
  <c r="DF56" i="3"/>
  <c r="DG56" i="3"/>
  <c r="DF60" i="3"/>
  <c r="DG60" i="3"/>
  <c r="DF63" i="3"/>
  <c r="DG63" i="3"/>
  <c r="DF54" i="3"/>
  <c r="DG54" i="3"/>
  <c r="DG15" i="3"/>
  <c r="DF15" i="3"/>
  <c r="DF46" i="3"/>
  <c r="DG46" i="3"/>
  <c r="DF66" i="3"/>
  <c r="DG66" i="3"/>
  <c r="DG33" i="3"/>
  <c r="DF33" i="3"/>
  <c r="DF65" i="3"/>
  <c r="DG65" i="3"/>
  <c r="AO22" i="1"/>
  <c r="F49" i="1"/>
  <c r="AO75" i="1"/>
  <c r="DF9" i="3"/>
  <c r="DG9" i="3"/>
  <c r="BB22" i="1"/>
  <c r="F58" i="1"/>
  <c r="BB75" i="1"/>
  <c r="DF43" i="3"/>
  <c r="DG43" i="3"/>
  <c r="DF39" i="3"/>
  <c r="DG39" i="3"/>
  <c r="CG22" i="1"/>
  <c r="AX45" i="1"/>
  <c r="DF20" i="3"/>
  <c r="DG20" i="3"/>
  <c r="DG53" i="3"/>
  <c r="DF53" i="3"/>
  <c r="AF45" i="1"/>
  <c r="DF25" i="3"/>
  <c r="DJ25" i="3" s="1"/>
  <c r="DG25" i="3"/>
  <c r="J74" i="17" l="1"/>
  <c r="T45" i="1"/>
  <c r="DL14" i="8" s="1"/>
  <c r="J45" i="17"/>
  <c r="J49" i="17"/>
  <c r="I64" i="17"/>
  <c r="J58" i="17"/>
  <c r="J75" i="17"/>
  <c r="I42" i="17"/>
  <c r="J66" i="17"/>
  <c r="I54" i="17"/>
  <c r="I47" i="17"/>
  <c r="GM43" i="1"/>
  <c r="GN43" i="1" s="1"/>
  <c r="J62" i="17"/>
  <c r="I73" i="17"/>
  <c r="J59" i="17"/>
  <c r="I44" i="17"/>
  <c r="J40" i="17"/>
  <c r="I57" i="17"/>
  <c r="J72" i="17"/>
  <c r="GM42" i="1"/>
  <c r="GO42" i="1" s="1"/>
  <c r="J51" i="17"/>
  <c r="IR14" i="8"/>
  <c r="FL14" i="8"/>
  <c r="IS14" i="8"/>
  <c r="FY14" i="8"/>
  <c r="J61" i="17"/>
  <c r="J41" i="17"/>
  <c r="IN14" i="8"/>
  <c r="FK14" i="8"/>
  <c r="EW14" i="8"/>
  <c r="FX14" i="8"/>
  <c r="IJ14" i="8"/>
  <c r="I63" i="17"/>
  <c r="I50" i="17"/>
  <c r="I56" i="17"/>
  <c r="I46" i="17"/>
  <c r="J52" i="17"/>
  <c r="I70" i="17"/>
  <c r="I65" i="17"/>
  <c r="I55" i="17"/>
  <c r="I71" i="17"/>
  <c r="GF14" i="8"/>
  <c r="IK2" i="1"/>
  <c r="DG14" i="8"/>
  <c r="DJ14" i="8"/>
  <c r="DS14" i="8"/>
  <c r="DI14" i="8"/>
  <c r="V45" i="1"/>
  <c r="V75" i="1" s="1"/>
  <c r="FO14" i="8"/>
  <c r="GM39" i="1"/>
  <c r="GO39" i="1" s="1"/>
  <c r="GM33" i="1"/>
  <c r="GN33" i="1" s="1"/>
  <c r="GM38" i="1"/>
  <c r="GO38" i="1" s="1"/>
  <c r="GM37" i="1"/>
  <c r="GO37" i="1" s="1"/>
  <c r="GM30" i="1"/>
  <c r="GO30" i="1" s="1"/>
  <c r="GM36" i="1"/>
  <c r="GO36" i="1" s="1"/>
  <c r="GM28" i="1"/>
  <c r="GN28" i="1" s="1"/>
  <c r="GM31" i="1"/>
  <c r="GO31" i="1" s="1"/>
  <c r="IM14" i="8"/>
  <c r="GG14" i="8"/>
  <c r="W45" i="1"/>
  <c r="GM32" i="1"/>
  <c r="GP32" i="1" s="1"/>
  <c r="CD45" i="1" s="1"/>
  <c r="AU45" i="1" s="1"/>
  <c r="BA45" i="1"/>
  <c r="GM29" i="1"/>
  <c r="GN29" i="1" s="1"/>
  <c r="GM26" i="1"/>
  <c r="GN26" i="1" s="1"/>
  <c r="U45" i="1"/>
  <c r="AL45" i="1"/>
  <c r="AL22" i="1" s="1"/>
  <c r="GM24" i="1"/>
  <c r="R45" i="1"/>
  <c r="BD18" i="1"/>
  <c r="F100" i="1"/>
  <c r="AB45" i="1"/>
  <c r="S45" i="1"/>
  <c r="AF22" i="1"/>
  <c r="BB18" i="1"/>
  <c r="F88" i="1"/>
  <c r="AD22" i="1"/>
  <c r="Q45" i="1"/>
  <c r="AX22" i="1"/>
  <c r="F52" i="1"/>
  <c r="AX75" i="1"/>
  <c r="AC22" i="1"/>
  <c r="P45" i="1"/>
  <c r="CE45" i="1"/>
  <c r="CF45" i="1"/>
  <c r="CH45" i="1"/>
  <c r="AP22" i="1"/>
  <c r="F54" i="1"/>
  <c r="G16" i="2" s="1"/>
  <c r="G18" i="2" s="1"/>
  <c r="AP75" i="1"/>
  <c r="AK45" i="1"/>
  <c r="T75" i="1"/>
  <c r="AO18" i="1"/>
  <c r="F79" i="1"/>
  <c r="AQ22" i="1"/>
  <c r="F55" i="1"/>
  <c r="AQ75" i="1"/>
  <c r="CI22" i="1"/>
  <c r="AZ45" i="1"/>
  <c r="T22" i="1" l="1"/>
  <c r="F66" i="1"/>
  <c r="F68" i="1"/>
  <c r="V22" i="1"/>
  <c r="GC14" i="8"/>
  <c r="GB14" i="8"/>
  <c r="EX14" i="8"/>
  <c r="FQ14" i="8"/>
  <c r="CZ14" i="8"/>
  <c r="DA14" i="8"/>
  <c r="DC14" i="8"/>
  <c r="W22" i="1"/>
  <c r="DM14" i="8"/>
  <c r="CX14" i="8"/>
  <c r="EU14" i="8"/>
  <c r="DK14" i="8"/>
  <c r="U75" i="1"/>
  <c r="U18" i="1" s="1"/>
  <c r="CW14" i="8"/>
  <c r="ET14" i="8"/>
  <c r="R22" i="1"/>
  <c r="DB14" i="8"/>
  <c r="F65" i="1"/>
  <c r="DW14" i="8"/>
  <c r="DT14" i="8"/>
  <c r="IH14" i="8"/>
  <c r="EV14" i="8"/>
  <c r="CC45" i="1"/>
  <c r="CC22" i="1" s="1"/>
  <c r="BA22" i="1"/>
  <c r="BA75" i="1"/>
  <c r="F95" i="1" s="1"/>
  <c r="CD22" i="1"/>
  <c r="W75" i="1"/>
  <c r="W18" i="1" s="1"/>
  <c r="F69" i="1"/>
  <c r="F67" i="1"/>
  <c r="CA45" i="1"/>
  <c r="AR45" i="1" s="1"/>
  <c r="U22" i="1"/>
  <c r="Y45" i="1"/>
  <c r="R75" i="1"/>
  <c r="R18" i="1" s="1"/>
  <c r="F59" i="1"/>
  <c r="GN24" i="1"/>
  <c r="CB45" i="1" s="1"/>
  <c r="CB22" i="1" s="1"/>
  <c r="AY45" i="1"/>
  <c r="CH22" i="1"/>
  <c r="Q22" i="1"/>
  <c r="F57" i="1"/>
  <c r="Q75" i="1"/>
  <c r="P22" i="1"/>
  <c r="F48" i="1"/>
  <c r="P75" i="1"/>
  <c r="AB22" i="1"/>
  <c r="O45" i="1"/>
  <c r="CY14" i="8" s="1"/>
  <c r="S22" i="1"/>
  <c r="F60" i="1"/>
  <c r="S75" i="1"/>
  <c r="AK22" i="1"/>
  <c r="X45" i="1"/>
  <c r="AP18" i="1"/>
  <c r="F84" i="1"/>
  <c r="CF22" i="1"/>
  <c r="AW45" i="1"/>
  <c r="AU22" i="1"/>
  <c r="F64" i="1"/>
  <c r="AU75" i="1"/>
  <c r="AZ22" i="1"/>
  <c r="F56" i="1"/>
  <c r="AZ75" i="1"/>
  <c r="T18" i="1"/>
  <c r="F96" i="1"/>
  <c r="CE22" i="1"/>
  <c r="AV45" i="1"/>
  <c r="AQ18" i="1"/>
  <c r="F85" i="1"/>
  <c r="V18" i="1"/>
  <c r="F98" i="1"/>
  <c r="AX18" i="1"/>
  <c r="F82" i="1"/>
  <c r="II14" i="8" l="1"/>
  <c r="EZ14" i="8"/>
  <c r="FR14" i="8"/>
  <c r="FN14" i="8"/>
  <c r="F97" i="1"/>
  <c r="FE14" i="8"/>
  <c r="Y22" i="1"/>
  <c r="DO14" i="8"/>
  <c r="FB14" i="8"/>
  <c r="GE14" i="8"/>
  <c r="FC14" i="8"/>
  <c r="DN14" i="8"/>
  <c r="IF14" i="8"/>
  <c r="DE14" i="8"/>
  <c r="DH14" i="8"/>
  <c r="BA18" i="1"/>
  <c r="DF14" i="8"/>
  <c r="H16" i="2"/>
  <c r="H18" i="2" s="1"/>
  <c r="IK8" i="1"/>
  <c r="DP14" i="8"/>
  <c r="F99" i="1"/>
  <c r="AT45" i="1"/>
  <c r="CA22" i="1"/>
  <c r="Y75" i="1"/>
  <c r="F102" i="1" s="1"/>
  <c r="F89" i="1"/>
  <c r="F72" i="1"/>
  <c r="AS45" i="1"/>
  <c r="J16" i="2"/>
  <c r="J18" i="2" s="1"/>
  <c r="AZ18" i="1"/>
  <c r="F86" i="1"/>
  <c r="AY22" i="1"/>
  <c r="AY75" i="1"/>
  <c r="F53" i="1"/>
  <c r="S18" i="1"/>
  <c r="F90" i="1"/>
  <c r="O22" i="1"/>
  <c r="O75" i="1"/>
  <c r="F47" i="1"/>
  <c r="AW22" i="1"/>
  <c r="F51" i="1"/>
  <c r="AW75" i="1"/>
  <c r="X22" i="1"/>
  <c r="X75" i="1"/>
  <c r="F71" i="1"/>
  <c r="AV22" i="1"/>
  <c r="F50" i="1"/>
  <c r="AV75" i="1"/>
  <c r="AU18" i="1"/>
  <c r="F94" i="1"/>
  <c r="AR22" i="1"/>
  <c r="AR75" i="1"/>
  <c r="F73" i="1"/>
  <c r="P18" i="1"/>
  <c r="F78" i="1"/>
  <c r="Q18" i="1"/>
  <c r="F87" i="1"/>
  <c r="FM14" i="8" l="1"/>
  <c r="AT22" i="1"/>
  <c r="DR14" i="8"/>
  <c r="AS22" i="1"/>
  <c r="DQ14" i="8"/>
  <c r="DU14" i="8"/>
  <c r="AT75" i="1"/>
  <c r="AT18" i="1" s="1"/>
  <c r="F63" i="1"/>
  <c r="F16" i="2" s="1"/>
  <c r="F18" i="2" s="1"/>
  <c r="Y18" i="1"/>
  <c r="AS75" i="1"/>
  <c r="F92" i="1" s="1"/>
  <c r="F62" i="1"/>
  <c r="E16" i="2" s="1"/>
  <c r="E18" i="2" s="1"/>
  <c r="O18" i="1"/>
  <c r="F77" i="1"/>
  <c r="AV18" i="1"/>
  <c r="F80" i="1"/>
  <c r="X18" i="1"/>
  <c r="F101" i="1"/>
  <c r="AR18" i="1"/>
  <c r="F103" i="1"/>
  <c r="AW18" i="1"/>
  <c r="F81" i="1"/>
  <c r="AY18" i="1"/>
  <c r="F83" i="1"/>
  <c r="F93" i="1" l="1"/>
  <c r="AS18" i="1"/>
  <c r="I16" i="2"/>
  <c r="I18" i="2" s="1"/>
</calcChain>
</file>

<file path=xl/comments1.xml><?xml version="1.0" encoding="utf-8"?>
<comments xmlns="http://schemas.openxmlformats.org/spreadsheetml/2006/main">
  <authors>
    <author>Мамаева Екатерина Магомедовна</author>
  </authors>
  <commentList>
    <comment ref="C11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2.xml><?xml version="1.0" encoding="utf-8"?>
<comments xmlns="http://schemas.openxmlformats.org/spreadsheetml/2006/main">
  <authors>
    <author>Мамаева Екатерина Магомедовна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3.xml><?xml version="1.0" encoding="utf-8"?>
<comments xmlns="http://schemas.openxmlformats.org/spreadsheetml/2006/main">
  <authors>
    <author>Мамаева Екатерина Магомедовна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4.xml><?xml version="1.0" encoding="utf-8"?>
<comments xmlns="http://schemas.openxmlformats.org/spreadsheetml/2006/main">
  <authors>
    <author>Ревина Юлия Ивановна</author>
  </authors>
  <commentList>
    <comment ref="C82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Исполнил -&gt; Должность</t>
        </r>
      </text>
    </comment>
    <comment ref="C8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Проверил -&gt; Должность</t>
        </r>
      </text>
    </comment>
  </commentList>
</comments>
</file>

<file path=xl/comments5.xml><?xml version="1.0" encoding="utf-8"?>
<comments xmlns="http://schemas.openxmlformats.org/spreadsheetml/2006/main">
  <authors>
    <author>Мамаева Екатерина Магомедовна</author>
  </authors>
  <commentLis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</commentList>
</comments>
</file>

<file path=xl/sharedStrings.xml><?xml version="1.0" encoding="utf-8"?>
<sst xmlns="http://schemas.openxmlformats.org/spreadsheetml/2006/main" count="3649" uniqueCount="614">
  <si>
    <t>Smeta.RU  (495) 974-1589</t>
  </si>
  <si>
    <t>_PS_</t>
  </si>
  <si>
    <t>Smeta.RU</t>
  </si>
  <si>
    <t>ООО "ОДСК"  Доп. раб. место  FStS-0028762</t>
  </si>
  <si>
    <t>Внеплощадочные сети инженерного обеспечения квартала "Зеленые холмы" г. Калуга.</t>
  </si>
  <si>
    <t>6.3.6  Электроснабжение 10 кВ. Переустройство сетей.</t>
  </si>
  <si>
    <t/>
  </si>
  <si>
    <t>Сметные нормы списания</t>
  </si>
  <si>
    <t>Коды ценников</t>
  </si>
  <si>
    <t>ФЕР  2020 года (421пр + 557пр за итогом по статьям) НОВОЕ СТРОИТЕЛЬСТВО</t>
  </si>
  <si>
    <t>Версия 1.7.3 ГСН (ГЭСН, ФЕР) и ТЕР (Методики НР (812/пр, 636/пр, 611/пр) и СП (774/пр и 317/пр) применять с 08.01.2023 г.)</t>
  </si>
  <si>
    <t>ФЕР-2020 с Изм.9 от 2021.12.20</t>
  </si>
  <si>
    <t>Поправки для базы ФЕР-2020 И9 от 2023.11.21 (в ред. 557/пр+648/пр) Новое строительство</t>
  </si>
  <si>
    <t>ГСН</t>
  </si>
  <si>
    <t>6.3.6</t>
  </si>
  <si>
    <t>Электроснабжение 10 кВ. Переустройство сетей.</t>
  </si>
  <si>
    <t>1</t>
  </si>
  <si>
    <t>01-01-009-23</t>
  </si>
  <si>
    <t>Разработка траншей экскаватором «обратная лопата» с ковшом вместимостью 0,25 м3, группа грунтов: 2</t>
  </si>
  <si>
    <t>1000 м3</t>
  </si>
  <si>
    <t>ФЕР-2001, 01-01-009-23, приказ Минстроя России № 876/пр от 26.12.2019</t>
  </si>
  <si>
    <t>Общестроительные работы</t>
  </si>
  <si>
    <t>Земляные работы</t>
  </si>
  <si>
    <t>Земляные работы, выполняемые: механизированным способом</t>
  </si>
  <si>
    <t>ФЕР-01</t>
  </si>
  <si>
    <t>Пр/812-001.1-1</t>
  </si>
  <si>
    <t>Пр/774-001.1</t>
  </si>
  <si>
    <t>2</t>
  </si>
  <si>
    <t>01-02-057-02</t>
  </si>
  <si>
    <t>Разработка грунта вручную в траншеях глубиной до 2 м без креплений с откосами, группа грунтов: 2</t>
  </si>
  <si>
    <t>100 м3</t>
  </si>
  <si>
    <t>ФЕР-2001, 01-02-057-02, приказ Минстроя России № 876/пр от 26.12.2019</t>
  </si>
  <si>
    <t>Поправка: Прил. 1.12, п.3.189. Наименование: Разработка грунта в местах, находящихся на расстоянии до 1 м от кабелей, проложенных в трубопроводах или коробах, а также от водопроводных и канализационных труб</t>
  </si>
  <si>
    <t>*1,15</t>
  </si>
  <si>
    <t>Земляные работы, выполняемые: ручным способом</t>
  </si>
  <si>
    <t>Поправка: Прил. 1.12, п.3.189.</t>
  </si>
  <si>
    <t>Пр/812-001.2-1</t>
  </si>
  <si>
    <t>Пр/774-001.2</t>
  </si>
  <si>
    <t>3</t>
  </si>
  <si>
    <t>01-02-061-01</t>
  </si>
  <si>
    <t>Засыпка вручную траншей, пазух котлованов и ям, группа грунтов: 1</t>
  </si>
  <si>
    <t>ФЕР-2001, 01-02-061-01, приказ Минстроя России № 876/пр от 26.12.2019</t>
  </si>
  <si>
    <t>4</t>
  </si>
  <si>
    <t>02.3.01.02-0016</t>
  </si>
  <si>
    <t>Песок природный для строительных: работ средний с крупностью зерен размером свыше 5 мм - до 5% по массе</t>
  </si>
  <si>
    <t>м3</t>
  </si>
  <si>
    <t>ФССЦ-2001, 02.3.01.02-0016, приказ Минстроя России № 876/пр от 26.12.2019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</si>
  <si>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</si>
  <si>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</si>
  <si>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</si>
  <si>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5</t>
  </si>
  <si>
    <t>01-01-033-02</t>
  </si>
  <si>
    <t>Засыпка траншей и котлованов с перемещением грунта до 5 м бульдозерами мощностью: 59 кВт (80 л.с.), группа грунтов 2</t>
  </si>
  <si>
    <t>ФЕР-2001, 01-01-033-02, приказ Минстроя России № 876/пр от 26.12.2019</t>
  </si>
  <si>
    <t>6</t>
  </si>
  <si>
    <t>01-02-005-01</t>
  </si>
  <si>
    <t>Уплотнение грунта пневматическими трамбовками, группа грунтов: 1-2</t>
  </si>
  <si>
    <t>ФЕР-2001, 01-02-005-01, приказ Минстроя России № 876/пр от 26.12.2019</t>
  </si>
  <si>
    <t>7</t>
  </si>
  <si>
    <t>м08-02-143-01</t>
  </si>
  <si>
    <t>Покрытие кабеля, проложенного в траншее: кирпичом одного кабеля</t>
  </si>
  <si>
    <t>100 м</t>
  </si>
  <si>
    <t>ФЕРм-2001 доп. 5, м08-02-143-01, приказ Минстроя России № 51/пр от 09.02.2021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</si>
  <si>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</si>
  <si>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</si>
  <si>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</si>
  <si>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</si>
  <si>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</si>
  <si>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8</t>
  </si>
  <si>
    <t>м08-02-143-02</t>
  </si>
  <si>
    <t>Покрытие кабеля, проложенного в траншее: кирпичом каждого последующего</t>
  </si>
  <si>
    <t>ФЕРм-2001 доп. 5, м08-02-143-02, приказ Минстроя России № 51/пр от 09.02.2021</t>
  </si>
  <si>
    <t>9</t>
  </si>
  <si>
    <t>Прайс</t>
  </si>
  <si>
    <t>Кирпич керамический полнотелый КР-кл-по 250х120х65/1НФ/500/2.0/100 с доставкой</t>
  </si>
  <si>
    <t>1000 ШТ</t>
  </si>
  <si>
    <t>Строка по умолчанию</t>
  </si>
  <si>
    <t>Прочие работы</t>
  </si>
  <si>
    <t>по умолчанию</t>
  </si>
  <si>
    <t>15 750 +  2% Заг.скл</t>
  </si>
  <si>
    <t>0</t>
  </si>
  <si>
    <t>10</t>
  </si>
  <si>
    <t>34-02-003-02</t>
  </si>
  <si>
    <t>Устройство трубопроводов из полиэтиленовых труб: более 2 отверстий</t>
  </si>
  <si>
    <t>канал.км</t>
  </si>
  <si>
    <t>ФЕР-2001, 34-02-003-02, приказ Минстроя России № 876/пр от 26.12.2019</t>
  </si>
  <si>
    <t>Сооружения связи, радиовещания и телевидения</t>
  </si>
  <si>
    <t>Сооружения связи , радиовещания и телевидения</t>
  </si>
  <si>
    <t>ФЕР-34</t>
  </si>
  <si>
    <t>Пр/812-028.0-1</t>
  </si>
  <si>
    <t>Пр/774-028.0</t>
  </si>
  <si>
    <t>Сооружения связи, радиовещания и телевидения прокладка и монтаж сетей связи</t>
  </si>
  <si>
    <t>10,1</t>
  </si>
  <si>
    <t>24.3.03.13-0418</t>
  </si>
  <si>
    <t>Труба напорная полиэтиленовая ПНД, среднего типа, диаметр 110 мм</t>
  </si>
  <si>
    <t>м</t>
  </si>
  <si>
    <t>ФССЦ-2001, 24.3.03.13-0418, приказ Минстроя России № 876/пр от 26.12.2019</t>
  </si>
  <si>
    <t>10,2</t>
  </si>
  <si>
    <t>24.3.03.13-0421</t>
  </si>
  <si>
    <t>Трубы напорные полиэтиленовые, среднего типа, ПНД, номинальный наружный диаметр 160 мм</t>
  </si>
  <si>
    <t>ФССЦ-2001, 24.3.03.13-0421, приказ Минстроя России № 876/пр от 26.12.2019</t>
  </si>
  <si>
    <t>11</t>
  </si>
  <si>
    <t>м08-02-148-04</t>
  </si>
  <si>
    <t>Кабель до 35 кВ в проложенных трубах, блоках и коробах, масса 1 м кабеля: до 6 кг/ааБл-10 3х240</t>
  </si>
  <si>
    <t>ФЕРм-2001, м08-02-148-04, приказ Минстроя России № 876/пр от 26.12.2019</t>
  </si>
  <si>
    <t>12</t>
  </si>
  <si>
    <t>м08-02-148-05</t>
  </si>
  <si>
    <t>Кабель до 35 кВ в проложенных трубах, блоках и коробах, масса 1 м кабеля: до 9 кг/асб-10 3х240</t>
  </si>
  <si>
    <t>ФЕРм-2001, м08-02-148-05, приказ Минстроя России № 876/пр от 26.12.2019</t>
  </si>
  <si>
    <t>14</t>
  </si>
  <si>
    <t>м08-02-141-04</t>
  </si>
  <si>
    <t>Кабель до 35 кВ в готовых траншеях без покрытий, масса 1 м: до 6 кг/ааБл-10 3х240</t>
  </si>
  <si>
    <t>ФЕРм-2001, м08-02-141-04, приказ Минстроя России № 876/пр от 26.12.2019</t>
  </si>
  <si>
    <t>15</t>
  </si>
  <si>
    <t>м08-02-141-05</t>
  </si>
  <si>
    <t>Кабель до 35 кВ в готовых траншеях без покрытий, масса 1 м: до 9 кг/асб-10 3х240</t>
  </si>
  <si>
    <t>ФЕРм-2001, м08-02-141-05, приказ Минстроя России № 876/пр от 26.12.2019</t>
  </si>
  <si>
    <t>19</t>
  </si>
  <si>
    <t>21.1.07.02-0060</t>
  </si>
  <si>
    <t>Кабель силовой с алюминиевыми жилами АСБл 3х240-10</t>
  </si>
  <si>
    <t>1000 м</t>
  </si>
  <si>
    <t>ФССЦ-2001, 21.1.07.02-0060, приказ Минстроя России № 876/пр от 26.12.2019</t>
  </si>
  <si>
    <t>Материалы монтажные</t>
  </si>
  <si>
    <t>Материалы и конструкции ( монтажные )  по ценникам и каталогам</t>
  </si>
  <si>
    <t>ФССЦм</t>
  </si>
  <si>
    <t>20</t>
  </si>
  <si>
    <t>прайс</t>
  </si>
  <si>
    <t>Кабель ААБл-10 3х240 мм2</t>
  </si>
  <si>
    <t>Материалы, изделия и конструкции</t>
  </si>
  <si>
    <t>материалы (03)</t>
  </si>
  <si>
    <t>[1 450,05 / 1,2] +  3,1% Трансп +  2% Заг.скл</t>
  </si>
  <si>
    <t>3,1</t>
  </si>
  <si>
    <t>22</t>
  </si>
  <si>
    <t>м08-02-167-05</t>
  </si>
  <si>
    <t>Муфта соединительная эпоксидная для 3-5-жильного кабеля напряжением: до 1 кВ, сечение одной жилы до 240 мм2</t>
  </si>
  <si>
    <t>ШТ</t>
  </si>
  <si>
    <t>ФЕРм-2001, м08-02-167-05, приказ Минстроя России № 876/пр от 26.12.2019</t>
  </si>
  <si>
    <t>22,1</t>
  </si>
  <si>
    <t>Муфта термоусаживаемая соединительная для кабеля 10СТп-9 сеч. 3х240 мм2</t>
  </si>
  <si>
    <t>шт.</t>
  </si>
  <si>
    <t>[7 743,64 / 1,2] +  3,1% Трансп +  2% Заг.скл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</si>
  <si>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</si>
  <si>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</si>
  <si>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</si>
  <si>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</si>
  <si>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</si>
  <si>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</si>
  <si>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</si>
  <si>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</si>
  <si>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</si>
  <si>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</si>
  <si>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</si>
  <si>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</si>
  <si>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</si>
  <si>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</si>
  <si>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</si>
  <si>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</si>
  <si>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</si>
  <si>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</si>
  <si>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</si>
  <si>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</si>
  <si>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</si>
  <si>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</si>
  <si>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</si>
  <si>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</si>
  <si>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</si>
  <si>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</si>
  <si>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</si>
  <si>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</si>
  <si>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</si>
  <si>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</si>
  <si>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</si>
  <si>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</si>
  <si>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</si>
  <si>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</si>
  <si>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</si>
  <si>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</si>
  <si>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</si>
  <si>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</si>
  <si>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</si>
  <si>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</si>
  <si>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</si>
  <si>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</si>
  <si>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</si>
  <si>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</si>
  <si>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</si>
  <si>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</si>
  <si>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</si>
  <si>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</si>
  <si>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</si>
  <si>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</si>
  <si>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</si>
  <si>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</si>
  <si>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</si>
  <si>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</si>
  <si>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</si>
  <si>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</si>
  <si>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</si>
  <si>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</si>
  <si>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</si>
  <si>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</si>
  <si>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</si>
  <si>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</si>
  <si>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</si>
  <si>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</si>
  <si>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</si>
  <si>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</si>
  <si>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</si>
  <si>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</si>
  <si>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</si>
  <si>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</si>
  <si>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</si>
  <si>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</si>
  <si>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</si>
  <si>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</si>
  <si>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</si>
  <si>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</si>
  <si>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</si>
  <si>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</si>
  <si>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</si>
  <si>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</si>
  <si>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</si>
  <si>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</si>
  <si>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</si>
  <si>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</si>
  <si>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</si>
  <si>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</si>
  <si>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</si>
  <si>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</si>
  <si>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</si>
  <si>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</si>
  <si>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</si>
  <si>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</si>
  <si>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</si>
  <si>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</si>
  <si>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</si>
  <si>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</si>
  <si>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</si>
  <si>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</si>
  <si>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</si>
  <si>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</si>
  <si>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</si>
  <si>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</si>
  <si>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</si>
  <si>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</si>
  <si>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</si>
  <si>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</si>
  <si>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</si>
  <si>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</si>
  <si>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</si>
  <si>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</si>
  <si>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</si>
  <si>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</si>
  <si>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</si>
  <si>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</si>
  <si>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</si>
  <si>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</si>
  <si>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</si>
  <si>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</si>
  <si>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Индексы за итогом</t>
  </si>
  <si>
    <t>_OBSM_</t>
  </si>
  <si>
    <t>4-100-00</t>
  </si>
  <si>
    <t>Затраты труда машинистов</t>
  </si>
  <si>
    <t>чел.-ч.</t>
  </si>
  <si>
    <t>91.01.05-106</t>
  </si>
  <si>
    <t>ФСЭМ-2001, 91.01.05-106 , приказ Минстроя России № 876/пр от 26.12.2019</t>
  </si>
  <si>
    <t>Экскаваторы одноковшовые дизельные на пневмоколесном ходу, емкость ковша 0,25 м3</t>
  </si>
  <si>
    <t>маш.-ч.</t>
  </si>
  <si>
    <t>1-100-20</t>
  </si>
  <si>
    <t>Затраты труда рабочих (Средний разряд - 2)</t>
  </si>
  <si>
    <t>1-100-15</t>
  </si>
  <si>
    <t>Затраты труда рабочих (Средний разряд - 1,5)</t>
  </si>
  <si>
    <t>91.01.01-034</t>
  </si>
  <si>
    <t>ФСЭМ-2001, 91.01.01-034 , приказ Минстроя России № 876/пр от 26.12.2019</t>
  </si>
  <si>
    <t>Бульдозеры, мощность 59 кВт (80 л.с.)</t>
  </si>
  <si>
    <t>1-100-30</t>
  </si>
  <si>
    <t>Затраты труда рабочих (Средний разряд - 3)</t>
  </si>
  <si>
    <t>91.08.09-023</t>
  </si>
  <si>
    <t>ФСЭМ-2001, 91.08.09-023 , приказ Минстроя России № 876/пр от 26.12.2019</t>
  </si>
  <si>
    <t>Трамбовки пневматические при работе от передвижных компрессорных станций</t>
  </si>
  <si>
    <t>91.18.01-007</t>
  </si>
  <si>
    <t>ФСЭМ-2001, 91.18.01-007 , приказ Минстроя России № 876/пр от 26.12.2019</t>
  </si>
  <si>
    <t>Компрессоры передвижные с двигателем внутреннего сгорания, давление до 686 кПа (7 ат), производительность до 5 м3/мин</t>
  </si>
  <si>
    <t>1-100-38</t>
  </si>
  <si>
    <t>Затраты труда рабочих (Средний разряд - 3,8)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</si>
  <si>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</si>
  <si>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</si>
  <si>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</si>
  <si>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</si>
  <si>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</si>
  <si>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</si>
  <si>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999-9950</t>
  </si>
  <si>
    <t>Вспомогательные ненормируемые материалы (2% от ОЗП)</t>
  </si>
  <si>
    <t>РУБ</t>
  </si>
  <si>
    <t>1-100-29</t>
  </si>
  <si>
    <t>Затраты труда рабочих (Средний разряд - 2,9)</t>
  </si>
  <si>
    <t>01.3.01.01-0002</t>
  </si>
  <si>
    <t>ФССЦ-2001, 01.3.01.01-0002, приказ Минстроя России № 876/пр от 26.12.2019</t>
  </si>
  <si>
    <t>Бензин автомобильный АИ-98, АИ-95, АИ-93</t>
  </si>
  <si>
    <t>т</t>
  </si>
  <si>
    <t>11.1.03.03-0003</t>
  </si>
  <si>
    <t>ФССЦ-2001, 11.1.03.03-0003, приказ Минстроя России № 876/пр от 26.12.2019</t>
  </si>
  <si>
    <t>Брусья необрезные, хвойных пород, длина 2-3,75 м, все ширины, толщина 100-125 мм, сорт III</t>
  </si>
  <si>
    <t>91.06.01-003</t>
  </si>
  <si>
    <t>ФСЭМ-2001, 91.06.01-003 , приказ Минстроя России № 876/пр от 26.12.2019</t>
  </si>
  <si>
    <t>Домкраты гидравлические, грузоподъемность 63-100 т</t>
  </si>
  <si>
    <t>91.06.03-062</t>
  </si>
  <si>
    <t>ФСЭМ-2001, 91.06.03-062 , приказ Минстроя России № 876/пр от 26.12.2019</t>
  </si>
  <si>
    <t>Лебедки электрические тяговым усилием до 31,39 кН (3,2 т)</t>
  </si>
  <si>
    <t>01.7.06.07-0002</t>
  </si>
  <si>
    <t>ФССЦ-2001, 01.7.06.07-0002, приказ Минстроя России № 876/пр от 26.12.2019</t>
  </si>
  <si>
    <t>Лента монтажная, тип ЛМ-5</t>
  </si>
  <si>
    <t>10 м</t>
  </si>
  <si>
    <t>10.3.02.03-0011</t>
  </si>
  <si>
    <t>ФССЦ-2001, 10.3.02.03-0011, приказ Минстроя России № 876/пр от 26.12.2019</t>
  </si>
  <si>
    <t>Припои оловянно-свинцовые бессурьмянистые, марка ПОС30</t>
  </si>
  <si>
    <t>14.4.03.03-0002</t>
  </si>
  <si>
    <t>ФССЦ-2001, 14.4.03.03-0002, приказ Минстроя России № 876/пр от 26.12.2019</t>
  </si>
  <si>
    <t>Лак битумный БТ-123</t>
  </si>
  <si>
    <t>08.3.07.01-0076</t>
  </si>
  <si>
    <t>ФССЦ-2001, 08.3.07.01-0076, приказ Минстроя России № 876/пр от 26.12.2019</t>
  </si>
  <si>
    <t>Прокат полосовой, горячекатаный, марка стали Ст3сп, ширина 50-200 мм, толщина 4-5 мм</t>
  </si>
  <si>
    <t>08.3.08.02-0052</t>
  </si>
  <si>
    <t>ФССЦ-2001, 08.3.08.02-0052, приказ Минстроя России № 876/пр от 26.12.2019</t>
  </si>
  <si>
    <t>Уголок горячекатаный, марка стали ВСт3кп2, размер 50x50x5 мм</t>
  </si>
  <si>
    <t>14.4.02.09-0001</t>
  </si>
  <si>
    <t>ФССЦ-2001, 14.4.02.09-0001, приказ Минстроя России № 876/пр от 26.12.2019</t>
  </si>
  <si>
    <t>Краска</t>
  </si>
  <si>
    <t>кг</t>
  </si>
  <si>
    <t>01.3.01.01-0001</t>
  </si>
  <si>
    <t>ФССЦ-2001, 01.3.01.01-0001, приказ Минстроя России № 876/пр от 26.12.2019</t>
  </si>
  <si>
    <t>Бензин авиационный Б-70</t>
  </si>
  <si>
    <t>01.3.01.05-0009</t>
  </si>
  <si>
    <t>ФССЦ-2001, 01.3.01.05-0009, приказ Минстроя России № 876/пр от 26.12.2019</t>
  </si>
  <si>
    <t>Парафин нефтяной твердый Т-1</t>
  </si>
  <si>
    <t>20.2.01.05-0014</t>
  </si>
  <si>
    <t>ФССЦ-2001, 20.2.01.05-0014, приказ Минстроя России № 876/пр от 26.12.2019</t>
  </si>
  <si>
    <t>Гильзы кабельные медные ГМ 240</t>
  </si>
  <si>
    <t>100 ШТ</t>
  </si>
  <si>
    <t>Прил. 1.12, п.3.189.</t>
  </si>
  <si>
    <t>Разработка грунта в местах, находящихся на расстоянии до 1 м от кабелей, проложенных в трубопроводах или коробах, а также от водопроводных и канализационных труб</t>
  </si>
  <si>
    <t>Тех. часть сб1</t>
  </si>
  <si>
    <t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</si>
  <si>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</si>
  <si>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</si>
  <si>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</si>
  <si>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</si>
  <si>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Параметры1.xls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</si>
  <si>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</si>
  <si>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</si>
  <si>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</si>
  <si>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</si>
  <si>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</si>
  <si>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</si>
  <si>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</si>
  <si>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</si>
  <si>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</si>
  <si>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(7+27+317)/1000 = 0,351</t>
  </si>
  <si>
    <t>11/100 = 0,11</t>
  </si>
  <si>
    <t>(2,5+9+106)/100 = 1,175</t>
  </si>
  <si>
    <t>(4,5+18+211)/1000 = 0,2335</t>
  </si>
  <si>
    <t>0,2335*10 = 2,335</t>
  </si>
  <si>
    <t>(37+73+351)/100 = 4,61</t>
  </si>
  <si>
    <t>(73+351*4)/100 = 14,77</t>
  </si>
  <si>
    <t>200/1000 = 0,2</t>
  </si>
  <si>
    <t>100/1,02/100 = 0,9803922</t>
  </si>
  <si>
    <t>1595/1,02/100 = 15,6372549</t>
  </si>
  <si>
    <t>605/1,02/100 = 5,9313725</t>
  </si>
  <si>
    <t>- номер последнего сформированного листа</t>
  </si>
  <si>
    <t>Наименование программного продукта: "Мастер сметных расчетов" v11.11, г. Орел, тел. +7 (910) 747-08-01</t>
  </si>
  <si>
    <t>Инвестор:</t>
  </si>
  <si>
    <t>Заказчик:</t>
  </si>
  <si>
    <t>Генподрядчик:</t>
  </si>
  <si>
    <t>Субподрядчик:</t>
  </si>
  <si>
    <t>Объект:</t>
  </si>
  <si>
    <t>Шифр:</t>
  </si>
  <si>
    <t>Составлено в уровне цен : I кв. 2025 г.</t>
  </si>
  <si>
    <t>Наименование и редакция СНБ: ФЕР-2020 с Изм.9 от 2021.12.20</t>
  </si>
  <si>
    <t xml:space="preserve"> 6.3.6  Электроснабжение 10 кВ. Переустройство сетей. </t>
  </si>
  <si>
    <t>Средства на оплату труда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</si>
  <si>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</si>
  <si>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</si>
  <si>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</si>
  <si>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</si>
  <si>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</si>
  <si>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 xml:space="preserve">Локальная смета: </t>
  </si>
  <si>
    <t xml:space="preserve"> 6.3.6</t>
  </si>
  <si>
    <t xml:space="preserve"> Электроснабжение 10 кВ. Переустройство сетей.</t>
  </si>
  <si>
    <t>%</t>
  </si>
  <si>
    <t xml:space="preserve">Итого: </t>
  </si>
  <si>
    <t>- базовый итог на Source равен базовому итогу в сформированной смете (1), не равен (0)</t>
  </si>
  <si>
    <t>Эксплуатация машин и механизмов</t>
  </si>
  <si>
    <t>Итого</t>
  </si>
  <si>
    <t>НДС</t>
  </si>
  <si>
    <t>[должность] / [подпись]</t>
  </si>
  <si>
    <t>[расшифровка подписи]</t>
  </si>
  <si>
    <t>М.П.</t>
  </si>
  <si>
    <t>Исполнил:</t>
  </si>
  <si>
    <t>Ведущий инженер-сметчик СРС ООО "ОДСК-Инжиниринг"</t>
  </si>
  <si>
    <t>Мамаева Е.М.</t>
  </si>
  <si>
    <t>Проверил:</t>
  </si>
  <si>
    <t>Главный инженер-сметчик СРС ООО "ОДСК-Инжиниринг"</t>
  </si>
  <si>
    <t>Кузнецова У.И.</t>
  </si>
  <si>
    <t>Руководитель ПТС ООО "ОСУ-2"</t>
  </si>
  <si>
    <t>Когтев В.И.</t>
  </si>
  <si>
    <t>Конец</t>
  </si>
  <si>
    <t>- уровень цен, использованный последний раз (1 - базовый / 2 - текущий)</t>
  </si>
  <si>
    <t>РАСЧЕТ СТОИМОСТИ</t>
  </si>
  <si>
    <t>материалов</t>
  </si>
  <si>
    <t>Стройка</t>
  </si>
  <si>
    <t>№</t>
  </si>
  <si>
    <t>п/п</t>
  </si>
  <si>
    <t>Обосно-</t>
  </si>
  <si>
    <t>вание</t>
  </si>
  <si>
    <t>норматива</t>
  </si>
  <si>
    <t>Наименование</t>
  </si>
  <si>
    <t>материала</t>
  </si>
  <si>
    <t>Единица</t>
  </si>
  <si>
    <t>измере-</t>
  </si>
  <si>
    <t>ния</t>
  </si>
  <si>
    <t>Коли-</t>
  </si>
  <si>
    <t>чество</t>
  </si>
  <si>
    <t>Цена,</t>
  </si>
  <si>
    <t>руб.</t>
  </si>
  <si>
    <t>Стои-</t>
  </si>
  <si>
    <t>мость</t>
  </si>
  <si>
    <t>Расчет цены ресурса,</t>
  </si>
  <si>
    <t>наименование поставщика материала,</t>
  </si>
  <si>
    <t>наименование прайса и номер строки в прайсе</t>
  </si>
  <si>
    <t>Материалы Подрядчика</t>
  </si>
  <si>
    <t xml:space="preserve">Сметная цена в Текущем уровне (расчет)                                                                                                  ( 1 * 5.09 = 5.09 ) </t>
  </si>
  <si>
    <t>Без НДС</t>
  </si>
  <si>
    <t xml:space="preserve">Сметная цена в Текущем уровне (расчет)                                                                                                  ( 4770 * 5.09 = 24279.3 ) </t>
  </si>
  <si>
    <t xml:space="preserve">Сметная цена в Текущем уровне (расчет)                                                                                                  ( 802.46 * 5.09 = 4084.52 ) </t>
  </si>
  <si>
    <t xml:space="preserve">Сметная цена в Текущем уровне (расчет)                                                                                                  ( 6.9 * 5.09 = 35.12 ) </t>
  </si>
  <si>
    <t xml:space="preserve">Сметная цена в Текущем уровне (расчет)                                                                                                  ( 68050 * 5.09 = 346374.5 ) </t>
  </si>
  <si>
    <t xml:space="preserve">Сметная цена в Текущем уровне (расчет)                                                                                                  ( 7826.9 * 5.09 = 39838.92 ) </t>
  </si>
  <si>
    <t xml:space="preserve">Сметная цена в Текущем уровне (расчет)                                                                                                  ( 5000 * 5.09 = 25450 ) </t>
  </si>
  <si>
    <t xml:space="preserve">Сметная цена в Текущем уровне (расчет)                                                                                                  ( 5763 * 5.09 = 29333.67 ) </t>
  </si>
  <si>
    <t xml:space="preserve">Сметная цена в Текущем уровне (расчет)                                                                                                  ( 28.6 * 5.09 = 145.57 ) </t>
  </si>
  <si>
    <t xml:space="preserve">Сметная цена в Текущем уровне (расчет)                                                                                                  ( 4488.4 * 5.09 = 22845.96 ) </t>
  </si>
  <si>
    <t xml:space="preserve">Сметная цена в Текущем уровне (расчет)                                                                                                  ( 8105.71 * 5.09 = 41258.06 ) </t>
  </si>
  <si>
    <t xml:space="preserve">Сметная цена в Текущем уровне (расчет)                                                                                                  ( 3120 * 5.09 = 15880.8 ) </t>
  </si>
  <si>
    <t xml:space="preserve">Сметная цена в Текущем уровне (расчет)                                                                                                  ( 55.26 * 5.09 = 281.27 ) </t>
  </si>
  <si>
    <t xml:space="preserve">Сметная цена в Текущем уровне (по методике 421пр)                                                                                                  ( 15 750 +  2% Заг.скл = 16065 ) </t>
  </si>
  <si>
    <t xml:space="preserve">Сметная цена в Текущем уровне (расчет)                                                                                                  ( 131.7 * 5.09 = 670.35 ) </t>
  </si>
  <si>
    <t xml:space="preserve">Сметная цена в Текущем уровне (расчет)                                                                                                  ( 332014.75 * 5.09 = 1689955.08 ) </t>
  </si>
  <si>
    <t xml:space="preserve">Сметная цена в Текущем уровне (по методике 421пр)                                                                                                  ( [1 450,05 / 1,2] +  3,1% Трансп +  2% Заг.скл = 1270.76 ) </t>
  </si>
  <si>
    <t xml:space="preserve">Сметная цена в Текущем уровне (по методике 421пр)                                                                                                  ( [7 743,64 / 1,2] +  3,1% Трансп +  2% Заг.скл = 6786.13 ) </t>
  </si>
  <si>
    <t>- стоимость материалов (последний расчет)</t>
  </si>
  <si>
    <t>оборудования</t>
  </si>
  <si>
    <t>Не найдено ни одного ресурса выбранного типа.</t>
  </si>
  <si>
    <t>РЕСУРСНЫЙ РАСЧЕТ</t>
  </si>
  <si>
    <t>ресурсов</t>
  </si>
  <si>
    <t>Трудовые ресурсы</t>
  </si>
  <si>
    <t>Сметная цена = 0 (не задана)</t>
  </si>
  <si>
    <t xml:space="preserve">Сметная цена в Текущем уровне (расчет)                                                                                                  ( 7.8 * 36.67 = 286.03 ) </t>
  </si>
  <si>
    <t xml:space="preserve">Сметная цена в Текущем уровне (расчет)                                                                                                  ( 7.5 * 36.67 = 275.03 ) </t>
  </si>
  <si>
    <t xml:space="preserve">Сметная цена в Текущем уровне (расчет)                                                                                                  ( 8.53 * 36.67 = 312.8 ) </t>
  </si>
  <si>
    <t xml:space="preserve">Сметная цена в Текущем уровне (расчет)                                                                                                  ( 9.4 * 36.67 = 344.7 ) </t>
  </si>
  <si>
    <t xml:space="preserve">Сметная цена в Текущем уровне (расчет)                                                                                                  ( 8.46 * 36.67 = 310.23 ) </t>
  </si>
  <si>
    <t>Машины</t>
  </si>
  <si>
    <t xml:space="preserve">Сметная цена в Текущем уровне (расчет)                                                                                                  ( 70.01 * 11.25 = 787.61 ) </t>
  </si>
  <si>
    <t xml:space="preserve">Сметная цена в Текущем уровне (расчет)                                                                                                  ( 59.47 * 11.25 = 669.04 ) </t>
  </si>
  <si>
    <t xml:space="preserve">Сметная цена в Текущем уровне (расчет)                                                                                                  ( .55 * 11.25 = 6.19 ) </t>
  </si>
  <si>
    <t xml:space="preserve">Сметная цена в Текущем уровне (расчет)                                                                                                  ( 90 * 11.25 = 1012.5 ) </t>
  </si>
  <si>
    <t xml:space="preserve">Сметная цена в Текущем уровне (расчет)                                                                                                  ( 115.4 * 11.25 = 1298.25 ) </t>
  </si>
  <si>
    <t xml:space="preserve">Сметная цена в Текущем уровне (расчет)                                                                                                  ( 65.71 * 11.25 = 739.24 ) </t>
  </si>
  <si>
    <t xml:space="preserve">Сметная цена в Текущем уровне (расчет)                                                                                                  ( .9 * 11.25 = 10.12 ) </t>
  </si>
  <si>
    <t xml:space="preserve">Сметная цена в Текущем уровне (расчет)                                                                                                  ( 6.9 * 11.25 = 77.62 ) </t>
  </si>
  <si>
    <t>В том числе:</t>
  </si>
  <si>
    <t>Материальные ресурсы</t>
  </si>
  <si>
    <t>" У Т В Е Р Ж Д А Ю "</t>
  </si>
  <si>
    <t>__________________________</t>
  </si>
  <si>
    <t>"_____"_____________ _____г.</t>
  </si>
  <si>
    <t>ВЕДОМОСТЬ СПИСАНИЯ</t>
  </si>
  <si>
    <t>материалов и оборудования</t>
  </si>
  <si>
    <t>работ и ресурсов</t>
  </si>
  <si>
    <t>Объем</t>
  </si>
  <si>
    <t xml:space="preserve">работ </t>
  </si>
  <si>
    <t>Расход ресурсов</t>
  </si>
  <si>
    <t>на</t>
  </si>
  <si>
    <t>единицу</t>
  </si>
  <si>
    <t>по норме</t>
  </si>
  <si>
    <t>по факту</t>
  </si>
  <si>
    <t>Пере-</t>
  </si>
  <si>
    <t>расход</t>
  </si>
  <si>
    <t>Экономия</t>
  </si>
  <si>
    <t>Списать на</t>
  </si>
  <si>
    <t>себесто-</t>
  </si>
  <si>
    <t>имость</t>
  </si>
  <si>
    <t>Смета: Электроснабжение 10 кВ. Переустройство сетей.</t>
  </si>
  <si>
    <t>v</t>
  </si>
  <si>
    <t xml:space="preserve"> Директора  ООО "ОСУ-2" </t>
  </si>
  <si>
    <t>Посулихин А.А.</t>
  </si>
  <si>
    <t xml:space="preserve">ТЕХНИЧЕСКОЕ ЗАДАНИЕ </t>
  </si>
  <si>
    <t xml:space="preserve">
Обязательное условие: выведение общего и специальных журналов, ведение исполнительной документации</t>
  </si>
  <si>
    <t xml:space="preserve">Указать количество работников в штате организации </t>
  </si>
  <si>
    <t xml:space="preserve">Опыт подтверждающий выполнение данного вида работ. (договор, акты выполненных работ на сумму договора) </t>
  </si>
  <si>
    <t>Указать список спецтехники. Предоставить договора аренды спецтехники.</t>
  </si>
  <si>
    <t>Проект рассмотрен. Расчет договорной цены  выполнен в соответствии с проектом.</t>
  </si>
  <si>
    <t>С условиями договора ознакомлен и согласен. Принимается типовая форма договора в редакции Генподрядчика.</t>
  </si>
  <si>
    <t>С условиями финансирования согласен.</t>
  </si>
  <si>
    <t xml:space="preserve">Приложения (копии документов): </t>
  </si>
  <si>
    <t>свидетельство о допуске к ведению работ (СРО)  обязательно;</t>
  </si>
  <si>
    <t>свидетельство о регистрации юридического лица (ОГРН);</t>
  </si>
  <si>
    <t>свидетельство о постановке на учет юридического лица  в налоговом органе  (ИНН);</t>
  </si>
  <si>
    <t>карточка учета организации; - АНКЕТА ОРГАНИЗАЦИИ</t>
  </si>
  <si>
    <t>устав организации;</t>
  </si>
  <si>
    <t>выписка из ЕГРЮЛ ;</t>
  </si>
  <si>
    <t>В ходе выполнения работ обязательное условие ведение общих и специальных журналов работ, исполнительной документации. Ежемесячное предоставление АОСР.</t>
  </si>
  <si>
    <t>При наличии лиц не имеющих гражданство России, наличие документов, подтверждающих право работы в России (патент и т.д.)</t>
  </si>
  <si>
    <t>документы, подтверждающие полномочия на право подписания договора (приказ о назначении на должность, доверенность от протокол, решение, организации на подписанта о наделении полномочий).</t>
  </si>
  <si>
    <t>бухгалтерский баланс (форма 1,2,5)</t>
  </si>
  <si>
    <t>Гарантийное удержание -5% от суммы выполненных работ за отчетный период, Гарантийные удержания накапливаются ГЕНПОДРЯДЧИКОМ и будут выплачены ПОДРЯДЧИКУ по истечении 60 (шестидесяти ) месяцев с даты подписания Сторонами акта полностью выполненного  комплекса работ по настоящему договору</t>
  </si>
  <si>
    <t>Работы выполняются в соответствии с требованиями нормативных документов СП, СНиП, ГОСТ и т.д.</t>
  </si>
  <si>
    <t>Ответственный: Ревина Ю.И.</t>
  </si>
  <si>
    <t>должность</t>
  </si>
  <si>
    <t>подпись</t>
  </si>
  <si>
    <t>ВЕДОМОСТЬ</t>
  </si>
  <si>
    <t xml:space="preserve">Материалы предоставляет: Подрядчик </t>
  </si>
  <si>
    <t>Механизмы - подрядчик</t>
  </si>
  <si>
    <r>
      <t>Разработка грунта вручную в траншеях глубиной до 2 м без креплений с откосами, группа грунтов: 2</t>
    </r>
    <r>
      <rPr>
        <sz val="8"/>
        <color rgb="FF0000FF"/>
        <rFont val="Times New Roman"/>
        <family val="1"/>
        <charset val="204"/>
      </rPr>
      <t xml:space="preserve">  (Поправка: Прил. 1.12, п.3.189.) </t>
    </r>
  </si>
  <si>
    <t xml:space="preserve">                                                                       УДТВЕРЖДАЮ</t>
  </si>
  <si>
    <t xml:space="preserve"> 6.4.6.1 Наружное электроосвещение. Переустройство сетей. </t>
  </si>
  <si>
    <t xml:space="preserve">Раздел: </t>
  </si>
  <si>
    <t xml:space="preserve"> Демонтажные работы</t>
  </si>
  <si>
    <t>33-04-042-01</t>
  </si>
  <si>
    <t>Демонтаж опор ВЛ 0,38-10 кВ: без приставок одностоечных</t>
  </si>
  <si>
    <t>67-4-3</t>
  </si>
  <si>
    <t>Демонтаж: светильников с лампами накаливания</t>
  </si>
  <si>
    <t xml:space="preserve"> Освещение. Переустройство сети</t>
  </si>
  <si>
    <t>06-01-001-02</t>
  </si>
  <si>
    <t>Устройство бетонных фундаментов общего назначения под колонны объемом: до 3 м3</t>
  </si>
  <si>
    <t>33-04-003-01</t>
  </si>
  <si>
    <t>Установка железобетонных опор ВЛ 0,38; 6-10 кВ с траверсами без приставок: одностоечных</t>
  </si>
  <si>
    <t>33-04-017-01</t>
  </si>
  <si>
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</si>
  <si>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1000 М</t>
  </si>
  <si>
    <t>33-04-017-03</t>
  </si>
  <si>
    <t>При изменении количества опор на 1000 м добавлять или исключать: к расценке 33-04-017-01</t>
  </si>
  <si>
    <t>33-04-014-01</t>
  </si>
  <si>
    <t>Установка светильников: с лампами накаливания/существующий светильник</t>
  </si>
  <si>
    <t>01.3.01.01-0010</t>
  </si>
  <si>
    <t>Бензин-растворитель</t>
  </si>
  <si>
    <t>01.7.15.03-0042</t>
  </si>
  <si>
    <t>Болты с гайками и шайбами строительные</t>
  </si>
  <si>
    <t>01.7.20.08-0051</t>
  </si>
  <si>
    <t>Ветошь</t>
  </si>
  <si>
    <t>01.7.03.01-0001</t>
  </si>
  <si>
    <t>Вода</t>
  </si>
  <si>
    <t>01.7.15.06-0111</t>
  </si>
  <si>
    <t>Гвозди строительные</t>
  </si>
  <si>
    <t>11.1.03.06-0095</t>
  </si>
  <si>
    <t>Доска обрезная, хвойных пород, ширина 75-150 мм, толщина 44 мм и более, длина 4-6,5 м, сорт III</t>
  </si>
  <si>
    <t>Зажим анкерный ЗАН 50-70/1500</t>
  </si>
  <si>
    <t>Зажим ответвительный ЗОИ 16-70/1.5-10</t>
  </si>
  <si>
    <t>Зажим ответвительный изолированный ЗОИ 25-95/25-95</t>
  </si>
  <si>
    <t>Заземляющий проводник ЗП-1</t>
  </si>
  <si>
    <t>Заземляющий проводник ЗП-2М</t>
  </si>
  <si>
    <t>03.1.02.03-0011</t>
  </si>
  <si>
    <t>Известь строительная негашеная комовая, сорт I</t>
  </si>
  <si>
    <t>20.2.02.04-0006</t>
  </si>
  <si>
    <t>Колпачки полиэтиленовые</t>
  </si>
  <si>
    <t>25.2.02.04-0002</t>
  </si>
  <si>
    <t>Комплект для простого анкерного крепления в составе кронштейн предельная нагрузка 15 кН, зажим длина клиньев 165 мм, длина петли 290 мм</t>
  </si>
  <si>
    <t>КОМПЛ</t>
  </si>
  <si>
    <t>25.2.02.04-0003</t>
  </si>
  <si>
    <t>Комплект промежуточной подвески в составе кронштейн предельная нагрузка 12-20 кН, зажим сечение 16-95 мм2</t>
  </si>
  <si>
    <t>Комплект промежуточной подвески КОПМ 1500</t>
  </si>
  <si>
    <t>Корпус предохранительной вставки КПВ 16-16</t>
  </si>
  <si>
    <t>14.4.02.04-0015</t>
  </si>
  <si>
    <t>Краска масляная для внутренних работ МА-015, черная густотертая</t>
  </si>
  <si>
    <t>Кронштейн КАМ -4000</t>
  </si>
  <si>
    <t>14.4.03.03-0102</t>
  </si>
  <si>
    <t>Лак битумный БТ-577</t>
  </si>
  <si>
    <t>25.2.02.11-0021</t>
  </si>
  <si>
    <t>Лента крепления, ширина 20 мм, толщина 0,7 мм, длина 50 м, из нержавеющей стали (в пластмассовой коробке с кабельной бухтой) F207 (СИП)</t>
  </si>
  <si>
    <t>Лента крепления, ширина 20 мм, толщина 0,7 мм, длина 50 м, из нержавеющей стали (в пластмассовой коробке с кабельной бухтой) F207 (СИП)/ЛМ-50 - 4м</t>
  </si>
  <si>
    <t>Лента крепления, ширина 20 мм, толщина 0,7 мм, длина 50 м, из нержавеющей стали (в пластмассовой коробке с кабельной бухтой) F207 (СИП)/ЛМ-50 - 6м</t>
  </si>
  <si>
    <t>Плавкая вставка цилиндрическая ПВЦ (22х58) 16А</t>
  </si>
  <si>
    <t>01.7.07.12-0024</t>
  </si>
  <si>
    <t>Пленка полиэтиленовая, толщина 0,15 мм</t>
  </si>
  <si>
    <t>м2</t>
  </si>
  <si>
    <t>21.2.01.01-0025</t>
  </si>
  <si>
    <t>Провод самонесущий изолированный СИП-2 3 х35+54,6</t>
  </si>
  <si>
    <t>21.2.03.03-0101</t>
  </si>
  <si>
    <t>Провод силовой гибкий ПВСнг-LS 3x1,5</t>
  </si>
  <si>
    <t>08.3.03.06-0002</t>
  </si>
  <si>
    <t>Проволока горячекатаная в мотках, диаметр 6,3-6,5 мм</t>
  </si>
  <si>
    <t>25.2.02.11-0051</t>
  </si>
  <si>
    <t>Скрепа для фиксации на промежуточных опорах, размер 20 мм</t>
  </si>
  <si>
    <t>01.3.01.06-0038</t>
  </si>
  <si>
    <t>Смазка защитная электросетевая</t>
  </si>
  <si>
    <t>01.3.01.06-0051</t>
  </si>
  <si>
    <t>Смазка солидол жировой Ж</t>
  </si>
  <si>
    <t>04.1.02.05-0009</t>
  </si>
  <si>
    <t>Смеси бетонные тяжелого бетона (БСТ), класс В25 (М350)</t>
  </si>
  <si>
    <t>05.1.02.07-0075</t>
  </si>
  <si>
    <t>Стойка опоры СВ 110-5, бетон B30, объем 0,45 м3, расход арматуры 77,08 кг</t>
  </si>
  <si>
    <t>Хомут для СИП ХС-180</t>
  </si>
  <si>
    <t>11.2.13.04-0011</t>
  </si>
  <si>
    <t>Щиты из досок, толщина 25 мм</t>
  </si>
  <si>
    <t xml:space="preserve">Разгрузка материалов: За счет Подрядчика. Входит в стоимость работ и дополнительной компенсации не подлежит.
В стоимость работ входят все затраты подрядчика: ОЗП рабочих, накладные расходы и сметная прибыль, стоимость основных и  расходных материалов.
Стоимость выполнения работ фиксируется на период выполнения работ. При наличии дополнительно выявленных и неучтенных работ, стоимость работ согласовывается отдельно. 
Обеспечение бытовыми  помещениями-подрядчик  
Охрана объекта - Генподрядчик  </t>
  </si>
  <si>
    <t xml:space="preserve">На торги выставляются объемы : Электроснабжение 10 кВ. и наружное электроосвещение. Переустройство сетей. Переустройство сетей  квартала "Зеленые холмы" г. Калуга  </t>
  </si>
  <si>
    <t xml:space="preserve">максимальная стоимсоть работ по разделу, </t>
  </si>
  <si>
    <t>руб с НДС:</t>
  </si>
  <si>
    <t>Основание:45-24-ЭН1; 45-21-ЭС1</t>
  </si>
  <si>
    <t>Сроки производства работ : с даты подписания договора подряда до 30.07.2025г.</t>
  </si>
  <si>
    <t xml:space="preserve"> 6.4.6.2.3  Электроснабжение 10 кВ. Переустройство сетей. </t>
  </si>
  <si>
    <t>Материалы Подрядчика (неучтенные в расценках)</t>
  </si>
  <si>
    <t>Кабель силовой с алюминиевыми жилами АСБ 3х240-10</t>
  </si>
  <si>
    <t>Трубы напорные полиэтиленовые, среднего типа, ПНД, номинальный наружный диаметр 160 мм/труба 160х14,6</t>
  </si>
  <si>
    <t>Итого максимальная стоимость работ, с НДС: 8 063 055,0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</si>
</sst>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0.0"/>
  </numFmts>
  <fonts count="40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rgb="FF008000"/>
      <name val="Arial"/>
      <family val="2"/>
      <charset val="204"/>
    </font>
    <font>
      <b/>
      <u/>
      <sz val="12"/>
      <name val="Times New Roman"/>
      <family val="1"/>
      <charset val="204"/>
    </font>
    <font>
      <sz val="9"/>
      <color rgb="FFFF00FF"/>
      <name val="Arial"/>
      <family val="2"/>
      <charset val="204"/>
    </font>
    <font>
      <sz val="9"/>
      <color rgb="FFFFFFFF"/>
      <name val="Arial"/>
      <family val="2"/>
      <charset val="204"/>
    </font>
    <font>
      <sz val="8"/>
      <name val="Times New Roman"/>
      <family val="1"/>
      <charset val="204"/>
    </font>
    <font>
      <b/>
      <i/>
      <u/>
      <sz val="11"/>
      <color rgb="FF00408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rgb="FF800000"/>
      <name val="Arial"/>
      <family val="2"/>
      <charset val="204"/>
    </font>
    <font>
      <u/>
      <sz val="10"/>
      <name val="Arial Black"/>
      <family val="2"/>
      <charset val="204"/>
    </font>
    <font>
      <sz val="8"/>
      <name val="Arial Narrow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charset val="204"/>
    </font>
    <font>
      <b/>
      <u/>
      <sz val="9"/>
      <name val="Times New Roman"/>
      <family val="1"/>
      <charset val="204"/>
    </font>
    <font>
      <b/>
      <sz val="11"/>
      <name val="Arial Narrow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43" fontId="35" fillId="0" borderId="0" applyFont="0" applyFill="0" applyBorder="0" applyAlignment="0" applyProtection="0"/>
    <xf numFmtId="0" fontId="9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14" fillId="0" borderId="0" xfId="0" applyFont="1"/>
    <xf numFmtId="0" fontId="0" fillId="0" borderId="2" xfId="0" applyBorder="1"/>
    <xf numFmtId="0" fontId="18" fillId="0" borderId="0" xfId="0" applyFont="1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4" fontId="0" fillId="0" borderId="0" xfId="0" applyNumberFormat="1"/>
    <xf numFmtId="0" fontId="0" fillId="0" borderId="3" xfId="0" applyBorder="1"/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3" fillId="0" borderId="0" xfId="0" applyFont="1"/>
    <xf numFmtId="0" fontId="15" fillId="0" borderId="0" xfId="0" applyFont="1" applyAlignment="1">
      <alignment horizontal="left" vertical="top"/>
    </xf>
    <xf numFmtId="4" fontId="15" fillId="0" borderId="0" xfId="0" applyNumberFormat="1" applyFont="1" applyAlignment="1">
      <alignment horizontal="right" vertical="top" shrinkToFit="1"/>
    </xf>
    <xf numFmtId="4" fontId="14" fillId="0" borderId="0" xfId="0" applyNumberFormat="1" applyFont="1"/>
    <xf numFmtId="0" fontId="0" fillId="0" borderId="6" xfId="0" applyFill="1" applyBorder="1"/>
    <xf numFmtId="0" fontId="15" fillId="0" borderId="6" xfId="0" applyFont="1" applyFill="1" applyBorder="1" applyAlignment="1">
      <alignment horizontal="left" vertical="top"/>
    </xf>
    <xf numFmtId="4" fontId="15" fillId="0" borderId="6" xfId="0" applyNumberFormat="1" applyFont="1" applyFill="1" applyBorder="1" applyAlignment="1">
      <alignment horizontal="right" vertical="top" shrinkToFit="1"/>
    </xf>
    <xf numFmtId="0" fontId="15" fillId="0" borderId="6" xfId="0" applyFont="1" applyFill="1" applyBorder="1"/>
    <xf numFmtId="0" fontId="18" fillId="0" borderId="6" xfId="0" applyFont="1" applyFill="1" applyBorder="1" applyAlignment="1">
      <alignment horizontal="center" vertical="top" shrinkToFit="1"/>
    </xf>
    <xf numFmtId="0" fontId="18" fillId="0" borderId="6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right" shrinkToFit="1"/>
    </xf>
    <xf numFmtId="4" fontId="18" fillId="0" borderId="6" xfId="0" applyNumberFormat="1" applyFont="1" applyFill="1" applyBorder="1" applyAlignment="1">
      <alignment horizontal="right" shrinkToFit="1"/>
    </xf>
    <xf numFmtId="0" fontId="22" fillId="0" borderId="6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center"/>
    </xf>
    <xf numFmtId="0" fontId="10" fillId="0" borderId="9" xfId="0" applyFont="1" applyBorder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19" fillId="0" borderId="6" xfId="0" applyFont="1" applyFill="1" applyBorder="1" applyAlignment="1">
      <alignment horizontal="left" vertical="top" wrapText="1"/>
    </xf>
    <xf numFmtId="0" fontId="0" fillId="0" borderId="10" xfId="0" applyFill="1" applyBorder="1"/>
    <xf numFmtId="0" fontId="15" fillId="0" borderId="10" xfId="0" applyFont="1" applyFill="1" applyBorder="1" applyAlignment="1">
      <alignment horizontal="left" vertical="top"/>
    </xf>
    <xf numFmtId="4" fontId="15" fillId="0" borderId="10" xfId="0" applyNumberFormat="1" applyFont="1" applyFill="1" applyBorder="1" applyAlignment="1">
      <alignment horizontal="right" vertical="top" shrinkToFit="1"/>
    </xf>
    <xf numFmtId="0" fontId="0" fillId="0" borderId="8" xfId="0" applyBorder="1"/>
    <xf numFmtId="0" fontId="15" fillId="0" borderId="0" xfId="0" applyFont="1" applyAlignment="1">
      <alignment horizontal="left" vertical="top" indent="1"/>
    </xf>
    <xf numFmtId="0" fontId="26" fillId="0" borderId="0" xfId="0" applyFont="1" applyAlignment="1">
      <alignment wrapText="1"/>
    </xf>
    <xf numFmtId="0" fontId="0" fillId="0" borderId="0" xfId="0" applyNumberFormat="1"/>
    <xf numFmtId="0" fontId="27" fillId="0" borderId="6" xfId="0" applyFont="1" applyFill="1" applyBorder="1" applyAlignment="1">
      <alignment horizontal="center" vertical="top" shrinkToFit="1"/>
    </xf>
    <xf numFmtId="0" fontId="27" fillId="0" borderId="6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right" shrinkToFit="1"/>
    </xf>
    <xf numFmtId="0" fontId="27" fillId="0" borderId="6" xfId="0" applyFont="1" applyFill="1" applyBorder="1"/>
    <xf numFmtId="0" fontId="20" fillId="0" borderId="6" xfId="0" applyFont="1" applyFill="1" applyBorder="1" applyAlignment="1">
      <alignment horizontal="center" vertical="top" shrinkToFit="1"/>
    </xf>
    <xf numFmtId="0" fontId="20" fillId="0" borderId="6" xfId="0" applyFont="1" applyFill="1" applyBorder="1" applyAlignment="1">
      <alignment horizontal="left" vertical="top" wrapText="1" indent="1"/>
    </xf>
    <xf numFmtId="0" fontId="20" fillId="0" borderId="6" xfId="0" applyFont="1" applyFill="1" applyBorder="1" applyAlignment="1">
      <alignment horizontal="right" shrinkToFit="1"/>
    </xf>
    <xf numFmtId="0" fontId="19" fillId="0" borderId="6" xfId="0" applyFont="1" applyFill="1" applyBorder="1" applyAlignment="1">
      <alignment horizontal="right" shrinkToFit="1"/>
    </xf>
    <xf numFmtId="0" fontId="20" fillId="0" borderId="6" xfId="0" applyFont="1" applyFill="1" applyBorder="1"/>
    <xf numFmtId="0" fontId="18" fillId="0" borderId="6" xfId="0" applyFont="1" applyFill="1" applyBorder="1" applyAlignment="1">
      <alignment horizontal="left" vertical="top" wrapText="1" indent="1"/>
    </xf>
    <xf numFmtId="0" fontId="18" fillId="0" borderId="6" xfId="0" applyFont="1" applyFill="1" applyBorder="1"/>
    <xf numFmtId="0" fontId="28" fillId="0" borderId="0" xfId="0" applyFont="1" applyAlignment="1">
      <alignment horizontal="left" vertical="top" wrapText="1"/>
    </xf>
    <xf numFmtId="0" fontId="29" fillId="0" borderId="0" xfId="0" applyFont="1" applyProtection="1"/>
    <xf numFmtId="2" fontId="24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2" fontId="24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right" vertical="top"/>
    </xf>
    <xf numFmtId="2" fontId="24" fillId="0" borderId="0" xfId="0" applyNumberFormat="1" applyFont="1" applyFill="1" applyBorder="1" applyAlignment="1" applyProtection="1">
      <alignment vertical="top"/>
    </xf>
    <xf numFmtId="0" fontId="29" fillId="0" borderId="0" xfId="0" applyFont="1" applyAlignment="1" applyProtection="1">
      <alignment vertical="top"/>
    </xf>
    <xf numFmtId="2" fontId="24" fillId="0" borderId="0" xfId="0" applyNumberFormat="1" applyFont="1" applyFill="1" applyBorder="1" applyAlignment="1" applyProtection="1">
      <alignment horizontal="left" vertical="top"/>
    </xf>
    <xf numFmtId="49" fontId="29" fillId="0" borderId="0" xfId="0" applyNumberFormat="1" applyFont="1" applyAlignment="1" applyProtection="1">
      <alignment horizontal="right" vertical="top"/>
    </xf>
    <xf numFmtId="0" fontId="24" fillId="0" borderId="0" xfId="0" applyFont="1" applyBorder="1" applyAlignment="1" applyProtection="1">
      <alignment horizontal="center" vertical="top" wrapText="1"/>
      <protection locked="0"/>
    </xf>
    <xf numFmtId="0" fontId="0" fillId="2" borderId="0" xfId="0" applyFill="1"/>
    <xf numFmtId="0" fontId="24" fillId="0" borderId="0" xfId="0" applyFont="1" applyBorder="1" applyAlignment="1" applyProtection="1">
      <alignment horizontal="left"/>
      <protection locked="0"/>
    </xf>
    <xf numFmtId="0" fontId="24" fillId="0" borderId="0" xfId="0" applyNumberFormat="1" applyFont="1" applyFill="1" applyBorder="1" applyAlignment="1" applyProtection="1">
      <alignment horizontal="justify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10" fillId="0" borderId="0" xfId="1" applyFont="1" applyAlignment="1">
      <alignment horizontal="left"/>
    </xf>
    <xf numFmtId="0" fontId="10" fillId="0" borderId="9" xfId="1" applyFont="1" applyBorder="1" applyAlignment="1">
      <alignment horizontal="left" wrapText="1"/>
    </xf>
    <xf numFmtId="0" fontId="10" fillId="0" borderId="9" xfId="1" applyFont="1" applyBorder="1" applyAlignment="1">
      <alignment horizontal="left"/>
    </xf>
    <xf numFmtId="0" fontId="9" fillId="0" borderId="0" xfId="1"/>
    <xf numFmtId="0" fontId="24" fillId="0" borderId="0" xfId="1" applyFont="1" applyAlignment="1">
      <alignment horizontal="left"/>
    </xf>
    <xf numFmtId="0" fontId="9" fillId="0" borderId="0" xfId="1" applyAlignment="1">
      <alignment horizontal="left"/>
    </xf>
    <xf numFmtId="0" fontId="29" fillId="0" borderId="0" xfId="0" applyFont="1" applyFill="1" applyProtection="1"/>
    <xf numFmtId="0" fontId="24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Alignment="1">
      <alignment horizontal="left" vertical="top"/>
    </xf>
    <xf numFmtId="0" fontId="30" fillId="0" borderId="0" xfId="0" applyFont="1"/>
    <xf numFmtId="0" fontId="31" fillId="0" borderId="0" xfId="0" applyFont="1"/>
    <xf numFmtId="0" fontId="32" fillId="0" borderId="13" xfId="0" applyFont="1" applyBorder="1" applyAlignment="1">
      <alignment horizontal="center" wrapText="1"/>
    </xf>
    <xf numFmtId="0" fontId="24" fillId="0" borderId="16" xfId="0" applyFont="1" applyBorder="1" applyAlignment="1">
      <alignment horizontal="left" vertical="top" wrapText="1"/>
    </xf>
    <xf numFmtId="49" fontId="24" fillId="0" borderId="15" xfId="0" applyNumberFormat="1" applyFont="1" applyBorder="1" applyAlignment="1">
      <alignment horizontal="left" vertical="top" wrapText="1"/>
    </xf>
    <xf numFmtId="0" fontId="32" fillId="0" borderId="15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right" wrapText="1"/>
    </xf>
    <xf numFmtId="0" fontId="32" fillId="0" borderId="15" xfId="0" applyFont="1" applyBorder="1" applyAlignment="1">
      <alignment horizontal="right" shrinkToFit="1"/>
    </xf>
    <xf numFmtId="0" fontId="24" fillId="0" borderId="18" xfId="0" applyFont="1" applyBorder="1" applyAlignment="1">
      <alignment horizontal="left" vertical="top" wrapText="1"/>
    </xf>
    <xf numFmtId="49" fontId="24" fillId="0" borderId="6" xfId="0" applyNumberFormat="1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right" wrapText="1"/>
    </xf>
    <xf numFmtId="0" fontId="32" fillId="0" borderId="6" xfId="0" applyFont="1" applyBorder="1" applyAlignment="1">
      <alignment horizontal="right" shrinkToFit="1"/>
    </xf>
    <xf numFmtId="0" fontId="21" fillId="0" borderId="0" xfId="0" applyFont="1" applyAlignment="1">
      <alignment horizontal="center" wrapText="1"/>
    </xf>
    <xf numFmtId="0" fontId="30" fillId="0" borderId="0" xfId="0" applyFont="1" applyAlignment="1">
      <alignment horizontal="right"/>
    </xf>
    <xf numFmtId="0" fontId="30" fillId="0" borderId="9" xfId="0" applyFont="1" applyBorder="1"/>
    <xf numFmtId="2" fontId="0" fillId="0" borderId="0" xfId="0" applyNumberFormat="1"/>
    <xf numFmtId="0" fontId="9" fillId="0" borderId="0" xfId="0" applyFont="1" applyAlignment="1">
      <alignment horizontal="right"/>
    </xf>
    <xf numFmtId="0" fontId="24" fillId="0" borderId="0" xfId="0" applyFont="1" applyBorder="1" applyAlignment="1">
      <alignment horizontal="left" vertical="top" wrapText="1"/>
    </xf>
    <xf numFmtId="0" fontId="30" fillId="0" borderId="6" xfId="0" applyFont="1" applyBorder="1"/>
    <xf numFmtId="0" fontId="24" fillId="0" borderId="6" xfId="0" applyFont="1" applyBorder="1" applyAlignment="1">
      <alignment horizontal="left" vertical="top" wrapText="1"/>
    </xf>
    <xf numFmtId="0" fontId="0" fillId="0" borderId="0" xfId="0" applyFill="1" applyBorder="1"/>
    <xf numFmtId="0" fontId="15" fillId="0" borderId="0" xfId="0" applyFont="1" applyFill="1" applyBorder="1" applyAlignment="1">
      <alignment horizontal="left" vertical="top"/>
    </xf>
    <xf numFmtId="0" fontId="24" fillId="0" borderId="3" xfId="1" applyFont="1" applyBorder="1" applyAlignment="1"/>
    <xf numFmtId="0" fontId="9" fillId="0" borderId="0" xfId="1" applyAlignment="1">
      <alignment horizontal="center"/>
    </xf>
    <xf numFmtId="0" fontId="37" fillId="0" borderId="0" xfId="3" applyFont="1" applyBorder="1" applyAlignment="1" applyProtection="1">
      <alignment vertical="center"/>
    </xf>
    <xf numFmtId="0" fontId="15" fillId="0" borderId="0" xfId="0" applyFont="1" applyBorder="1" applyAlignment="1">
      <alignment vertical="center" wrapText="1"/>
    </xf>
    <xf numFmtId="4" fontId="15" fillId="0" borderId="0" xfId="1" applyNumberFormat="1" applyFont="1" applyAlignment="1">
      <alignment shrinkToFit="1"/>
    </xf>
    <xf numFmtId="4" fontId="15" fillId="0" borderId="0" xfId="1" applyNumberFormat="1" applyFont="1" applyAlignment="1">
      <alignment shrinkToFit="1"/>
    </xf>
    <xf numFmtId="0" fontId="39" fillId="0" borderId="6" xfId="0" applyFont="1" applyBorder="1" applyAlignment="1">
      <alignment horizontal="right" wrapText="1"/>
    </xf>
    <xf numFmtId="4" fontId="38" fillId="0" borderId="6" xfId="0" applyNumberFormat="1" applyFont="1" applyBorder="1" applyAlignment="1">
      <alignment horizontal="right" shrinkToFit="1"/>
    </xf>
    <xf numFmtId="0" fontId="39" fillId="0" borderId="0" xfId="0" applyFont="1" applyFill="1" applyBorder="1" applyAlignment="1" applyProtection="1">
      <alignment horizontal="left"/>
      <protection locked="0"/>
    </xf>
    <xf numFmtId="0" fontId="10" fillId="0" borderId="9" xfId="0" applyFont="1" applyBorder="1" applyAlignment="1">
      <alignment horizontal="left" wrapText="1"/>
    </xf>
    <xf numFmtId="0" fontId="24" fillId="0" borderId="3" xfId="0" applyFont="1" applyBorder="1" applyAlignment="1">
      <alignment horizontal="center"/>
    </xf>
    <xf numFmtId="49" fontId="10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25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11" fillId="0" borderId="0" xfId="0" applyFont="1"/>
    <xf numFmtId="0" fontId="24" fillId="0" borderId="3" xfId="0" applyFont="1" applyBorder="1" applyAlignment="1" applyProtection="1">
      <alignment horizontal="center" vertical="top" wrapText="1"/>
      <protection locked="0"/>
    </xf>
    <xf numFmtId="0" fontId="24" fillId="0" borderId="0" xfId="0" applyNumberFormat="1" applyFont="1" applyFill="1" applyBorder="1" applyAlignment="1" applyProtection="1">
      <alignment horizontal="justify" vertical="top"/>
    </xf>
    <xf numFmtId="0" fontId="0" fillId="0" borderId="0" xfId="0" applyAlignment="1">
      <alignment horizontal="justify" vertical="top"/>
    </xf>
    <xf numFmtId="0" fontId="24" fillId="0" borderId="0" xfId="0" applyNumberFormat="1" applyFont="1" applyFill="1" applyBorder="1" applyAlignment="1" applyProtection="1">
      <alignment horizontal="left" vertical="top" wrapText="1"/>
    </xf>
    <xf numFmtId="0" fontId="24" fillId="0" borderId="0" xfId="0" applyNumberFormat="1" applyFont="1" applyFill="1" applyBorder="1" applyAlignment="1" applyProtection="1">
      <alignment horizontal="left" vertical="top"/>
    </xf>
    <xf numFmtId="0" fontId="24" fillId="0" borderId="11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vertical="center" wrapText="1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right"/>
    </xf>
    <xf numFmtId="0" fontId="18" fillId="0" borderId="0" xfId="0" applyFont="1" applyAlignment="1">
      <alignment horizontal="left" vertical="top" wrapText="1"/>
    </xf>
    <xf numFmtId="2" fontId="34" fillId="0" borderId="0" xfId="0" applyNumberFormat="1" applyFont="1" applyAlignment="1" applyProtection="1">
      <alignment horizontal="right"/>
    </xf>
    <xf numFmtId="0" fontId="24" fillId="0" borderId="0" xfId="0" applyFont="1" applyFill="1" applyBorder="1" applyAlignment="1" applyProtection="1">
      <alignment horizontal="left" wrapText="1"/>
      <protection locked="0"/>
    </xf>
    <xf numFmtId="0" fontId="36" fillId="0" borderId="6" xfId="0" applyFont="1" applyBorder="1" applyAlignment="1">
      <alignment horizontal="right" vertical="top" wrapText="1"/>
    </xf>
    <xf numFmtId="0" fontId="36" fillId="0" borderId="6" xfId="0" applyFont="1" applyBorder="1" applyAlignment="1">
      <alignment horizontal="left" vertical="top" wrapText="1"/>
    </xf>
    <xf numFmtId="0" fontId="24" fillId="0" borderId="0" xfId="0" applyFont="1" applyBorder="1" applyAlignment="1" applyProtection="1">
      <alignment horizontal="left" wrapText="1"/>
      <protection locked="0"/>
    </xf>
    <xf numFmtId="43" fontId="15" fillId="0" borderId="0" xfId="2" applyFont="1" applyBorder="1" applyAlignment="1">
      <alignment horizontal="center" vertical="center"/>
    </xf>
    <xf numFmtId="0" fontId="11" fillId="0" borderId="0" xfId="0" applyFont="1" applyBorder="1" applyAlignment="1">
      <alignment horizontal="right" wrapText="1"/>
    </xf>
    <xf numFmtId="0" fontId="38" fillId="0" borderId="4" xfId="0" applyFont="1" applyBorder="1" applyAlignment="1">
      <alignment horizontal="right" vertical="top" wrapText="1"/>
    </xf>
    <xf numFmtId="0" fontId="38" fillId="0" borderId="7" xfId="0" applyFont="1" applyBorder="1" applyAlignment="1">
      <alignment horizontal="right"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12" xfId="0" applyFont="1" applyBorder="1" applyAlignment="1">
      <alignment horizontal="center" vertical="top" wrapText="1"/>
    </xf>
    <xf numFmtId="2" fontId="32" fillId="0" borderId="6" xfId="0" applyNumberFormat="1" applyFont="1" applyBorder="1" applyAlignment="1">
      <alignment horizontal="right" shrinkToFit="1"/>
    </xf>
    <xf numFmtId="169" fontId="32" fillId="0" borderId="6" xfId="0" applyNumberFormat="1" applyFont="1" applyBorder="1" applyAlignment="1">
      <alignment horizontal="right" shrinkToFit="1"/>
    </xf>
  </cellXfs>
  <cellStyles count="4"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86"/>
  <sheetViews>
    <sheetView workbookViewId="0">
      <selection sqref="A1:K1"/>
    </sheetView>
  </sheetViews>
  <sheetFormatPr defaultRowHeight="12.75" x14ac:dyDescent="0.2"/>
  <cols>
    <col min="1" max="1" width="7.7109375" customWidth="1"/>
    <col min="2" max="2" width="10.7109375" customWidth="1"/>
    <col min="3" max="3" width="36.7109375" customWidth="1"/>
    <col min="4" max="4" width="9.7109375" customWidth="1"/>
    <col min="5" max="5" width="8.7109375" customWidth="1"/>
    <col min="6" max="11" width="9.7109375" customWidth="1"/>
    <col min="15" max="69" width="0" hidden="1" customWidth="1"/>
    <col min="70" max="70" width="108.7109375" hidden="1" customWidth="1"/>
    <col min="71" max="71" width="118.7109375" hidden="1" customWidth="1"/>
    <col min="72" max="72" width="108.7109375" hidden="1" customWidth="1"/>
    <col min="73" max="73" width="125.7109375" hidden="1" customWidth="1"/>
    <col min="74" max="76" width="0" hidden="1" customWidth="1"/>
    <col min="77" max="77" width="37.7109375" hidden="1" customWidth="1"/>
    <col min="78" max="78" width="19.7109375" hidden="1" customWidth="1"/>
    <col min="79" max="79" width="37.7109375" hidden="1" customWidth="1"/>
    <col min="80" max="256" width="0" hidden="1" customWidth="1"/>
  </cols>
  <sheetData>
    <row r="1" spans="1:255" s="12" customFormat="1" ht="11.25" x14ac:dyDescent="0.2">
      <c r="A1" s="149" t="s">
        <v>369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255" x14ac:dyDescent="0.2">
      <c r="H2" s="138" t="s">
        <v>472</v>
      </c>
      <c r="I2" s="138"/>
      <c r="J2" s="138"/>
      <c r="K2" s="138"/>
    </row>
    <row r="3" spans="1:255" x14ac:dyDescent="0.2">
      <c r="H3" s="138"/>
      <c r="I3" s="138"/>
      <c r="J3" s="138"/>
      <c r="K3" s="138"/>
      <c r="CA3" s="17">
        <f>H3</f>
        <v>0</v>
      </c>
      <c r="IU3" s="18"/>
    </row>
    <row r="4" spans="1:255" x14ac:dyDescent="0.2">
      <c r="H4" s="138"/>
      <c r="I4" s="138"/>
      <c r="J4" s="138"/>
      <c r="K4" s="138"/>
      <c r="CA4" s="17">
        <f>H4</f>
        <v>0</v>
      </c>
      <c r="IU4" s="18"/>
    </row>
    <row r="5" spans="1:255" x14ac:dyDescent="0.2">
      <c r="H5" s="138"/>
      <c r="I5" s="138"/>
      <c r="J5" s="138"/>
      <c r="K5" s="138"/>
    </row>
    <row r="6" spans="1:255" x14ac:dyDescent="0.2">
      <c r="H6" s="138" t="s">
        <v>473</v>
      </c>
      <c r="I6" s="138"/>
      <c r="J6" s="138"/>
      <c r="K6" s="138"/>
    </row>
    <row r="7" spans="1:255" x14ac:dyDescent="0.2">
      <c r="H7" s="138"/>
      <c r="I7" s="138"/>
      <c r="J7" s="138"/>
      <c r="K7" s="138"/>
      <c r="CA7" s="17">
        <f>H7</f>
        <v>0</v>
      </c>
      <c r="IU7" s="18"/>
    </row>
    <row r="8" spans="1:255" x14ac:dyDescent="0.2">
      <c r="H8" s="138" t="s">
        <v>474</v>
      </c>
      <c r="I8" s="138"/>
      <c r="J8" s="138"/>
      <c r="K8" s="138"/>
    </row>
    <row r="11" spans="1:255" x14ac:dyDescent="0.2">
      <c r="A11" s="15" t="s">
        <v>370</v>
      </c>
      <c r="B11" s="14"/>
      <c r="C11" s="139"/>
      <c r="D11" s="140"/>
      <c r="E11" s="140"/>
      <c r="F11" s="140"/>
      <c r="G11" s="140"/>
      <c r="H11" s="140"/>
      <c r="I11" s="140"/>
      <c r="J11" s="140"/>
      <c r="K11" s="140"/>
      <c r="BR11" s="17">
        <f>C11</f>
        <v>0</v>
      </c>
      <c r="IU11" s="18"/>
    </row>
    <row r="12" spans="1:255" x14ac:dyDescent="0.2">
      <c r="A12" s="15" t="s">
        <v>371</v>
      </c>
      <c r="B12" s="14"/>
      <c r="C12" s="141"/>
      <c r="D12" s="142"/>
      <c r="E12" s="142"/>
      <c r="F12" s="142"/>
      <c r="G12" s="142"/>
      <c r="H12" s="142"/>
      <c r="I12" s="142"/>
      <c r="J12" s="142"/>
      <c r="K12" s="142"/>
      <c r="BR12" s="17">
        <f>C12</f>
        <v>0</v>
      </c>
      <c r="IU12" s="18"/>
    </row>
    <row r="13" spans="1:255" x14ac:dyDescent="0.2">
      <c r="A13" s="15" t="s">
        <v>372</v>
      </c>
      <c r="B13" s="14"/>
      <c r="C13" s="141"/>
      <c r="D13" s="142"/>
      <c r="E13" s="142"/>
      <c r="F13" s="142"/>
      <c r="G13" s="142"/>
      <c r="H13" s="142"/>
      <c r="I13" s="142"/>
      <c r="J13" s="142"/>
      <c r="K13" s="142"/>
      <c r="BR13" s="17">
        <f>C13</f>
        <v>0</v>
      </c>
      <c r="IU13" s="18"/>
    </row>
    <row r="14" spans="1:255" x14ac:dyDescent="0.2">
      <c r="A14" s="15" t="s">
        <v>373</v>
      </c>
      <c r="B14" s="14"/>
      <c r="C14" s="143"/>
      <c r="D14" s="144"/>
      <c r="E14" s="144"/>
      <c r="F14" s="144"/>
      <c r="G14" s="144"/>
      <c r="H14" s="144"/>
      <c r="I14" s="144"/>
      <c r="J14" s="144"/>
      <c r="K14" s="144"/>
      <c r="BR14" s="17">
        <f>C14</f>
        <v>0</v>
      </c>
      <c r="IU14" s="18"/>
    </row>
    <row r="15" spans="1:255" x14ac:dyDescent="0.2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</row>
    <row r="16" spans="1:255" ht="18.75" x14ac:dyDescent="0.3">
      <c r="A16" s="146" t="s">
        <v>475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</row>
    <row r="17" spans="1:255" x14ac:dyDescent="0.2">
      <c r="A17" s="147" t="s">
        <v>476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255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</row>
    <row r="19" spans="1:255" ht="15.75" x14ac:dyDescent="0.25">
      <c r="A19" s="11" t="s">
        <v>409</v>
      </c>
      <c r="B19" s="148" t="s">
        <v>4</v>
      </c>
      <c r="C19" s="148"/>
      <c r="D19" s="148"/>
      <c r="E19" s="148"/>
      <c r="F19" s="148"/>
      <c r="G19" s="148"/>
      <c r="H19" s="148"/>
      <c r="I19" s="148"/>
      <c r="J19" s="148"/>
      <c r="K19" s="148"/>
      <c r="BS19" s="28" t="str">
        <f>B19</f>
        <v>Внеплощадочные сети инженерного обеспечения квартала "Зеленые холмы" г. Калуга.</v>
      </c>
      <c r="IU19" s="18"/>
    </row>
    <row r="20" spans="1:255" ht="15.75" x14ac:dyDescent="0.25">
      <c r="A20" s="11" t="s">
        <v>374</v>
      </c>
      <c r="B20" s="137" t="s">
        <v>4</v>
      </c>
      <c r="C20" s="137"/>
      <c r="D20" s="137"/>
      <c r="E20" s="137"/>
      <c r="F20" s="137"/>
      <c r="G20" s="137"/>
      <c r="H20" s="137"/>
      <c r="I20" s="137"/>
      <c r="J20" s="137"/>
      <c r="K20" s="137"/>
      <c r="BS20" s="28" t="str">
        <f>B20</f>
        <v>Внеплощадочные сети инженерного обеспечения квартала "Зеленые холмы" г. Калуга.</v>
      </c>
      <c r="IU20" s="18"/>
    </row>
    <row r="21" spans="1:255" x14ac:dyDescent="0.2">
      <c r="A21" s="11" t="s">
        <v>375</v>
      </c>
      <c r="B21" s="130" t="s">
        <v>378</v>
      </c>
      <c r="C21" s="131"/>
      <c r="D21" s="131"/>
      <c r="E21" s="131"/>
      <c r="F21" s="131"/>
      <c r="G21" s="131"/>
      <c r="H21" s="131"/>
      <c r="I21" s="131"/>
      <c r="J21" s="131"/>
      <c r="K21" s="131"/>
      <c r="BT21" s="17">
        <f>C21</f>
        <v>0</v>
      </c>
      <c r="IU21" s="18"/>
    </row>
    <row r="23" spans="1:255" x14ac:dyDescent="0.2">
      <c r="A23" s="29" t="s">
        <v>410</v>
      </c>
      <c r="B23" s="29" t="s">
        <v>412</v>
      </c>
      <c r="C23" s="29" t="s">
        <v>415</v>
      </c>
      <c r="D23" s="29" t="s">
        <v>417</v>
      </c>
      <c r="E23" s="29" t="s">
        <v>478</v>
      </c>
      <c r="F23" s="132" t="s">
        <v>480</v>
      </c>
      <c r="G23" s="133"/>
      <c r="H23" s="133"/>
      <c r="I23" s="29" t="s">
        <v>485</v>
      </c>
      <c r="J23" s="29"/>
      <c r="K23" s="30" t="s">
        <v>488</v>
      </c>
    </row>
    <row r="24" spans="1:255" x14ac:dyDescent="0.2">
      <c r="A24" s="31" t="s">
        <v>411</v>
      </c>
      <c r="B24" s="31" t="s">
        <v>413</v>
      </c>
      <c r="C24" s="31" t="s">
        <v>477</v>
      </c>
      <c r="D24" s="31" t="s">
        <v>418</v>
      </c>
      <c r="E24" s="31" t="s">
        <v>479</v>
      </c>
      <c r="F24" s="29" t="s">
        <v>481</v>
      </c>
      <c r="G24" s="29" t="s">
        <v>483</v>
      </c>
      <c r="H24" s="29" t="s">
        <v>484</v>
      </c>
      <c r="I24" s="31" t="s">
        <v>486</v>
      </c>
      <c r="J24" s="31" t="s">
        <v>487</v>
      </c>
      <c r="K24" s="32" t="s">
        <v>489</v>
      </c>
    </row>
    <row r="25" spans="1:255" x14ac:dyDescent="0.2">
      <c r="A25" s="31"/>
      <c r="B25" s="31" t="s">
        <v>414</v>
      </c>
      <c r="C25" s="31"/>
      <c r="D25" s="31" t="s">
        <v>419</v>
      </c>
      <c r="E25" s="31"/>
      <c r="F25" s="31" t="s">
        <v>482</v>
      </c>
      <c r="G25" s="31"/>
      <c r="H25" s="31"/>
      <c r="I25" s="31"/>
      <c r="J25" s="31"/>
      <c r="K25" s="32" t="s">
        <v>490</v>
      </c>
    </row>
    <row r="26" spans="1:255" x14ac:dyDescent="0.2">
      <c r="A26" s="29">
        <v>1</v>
      </c>
      <c r="B26" s="29">
        <v>2</v>
      </c>
      <c r="C26" s="29">
        <v>3</v>
      </c>
      <c r="D26" s="29">
        <v>4</v>
      </c>
      <c r="E26" s="29">
        <v>5</v>
      </c>
      <c r="F26" s="29">
        <v>6</v>
      </c>
      <c r="G26" s="29">
        <v>7</v>
      </c>
      <c r="H26" s="29">
        <v>8</v>
      </c>
      <c r="I26" s="29">
        <v>9</v>
      </c>
      <c r="J26" s="29">
        <v>10</v>
      </c>
      <c r="K26" s="30">
        <v>11</v>
      </c>
    </row>
    <row r="27" spans="1:255" ht="15" x14ac:dyDescent="0.25">
      <c r="A27" s="134" t="s">
        <v>491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  <c r="BU27" s="59" t="str">
        <f>A27</f>
        <v>Смета: Электроснабжение 10 кВ. Переустройство сетей.</v>
      </c>
      <c r="IU27" s="18"/>
    </row>
    <row r="28" spans="1:255" ht="36" x14ac:dyDescent="0.2">
      <c r="A28" s="61" t="s">
        <v>16</v>
      </c>
      <c r="B28" s="62" t="s">
        <v>17</v>
      </c>
      <c r="C28" s="62" t="s">
        <v>18</v>
      </c>
      <c r="D28" s="62" t="s">
        <v>19</v>
      </c>
      <c r="E28" s="63">
        <f>Source!I24</f>
        <v>0.5</v>
      </c>
      <c r="F28" s="63"/>
      <c r="G28" s="63"/>
      <c r="H28" s="63"/>
      <c r="I28" s="63"/>
      <c r="J28" s="64"/>
      <c r="K28" s="64"/>
    </row>
    <row r="29" spans="1:255" ht="36" x14ac:dyDescent="0.2">
      <c r="A29" s="61" t="s">
        <v>27</v>
      </c>
      <c r="B29" s="62" t="s">
        <v>28</v>
      </c>
      <c r="C29" s="62" t="s">
        <v>29</v>
      </c>
      <c r="D29" s="62" t="s">
        <v>30</v>
      </c>
      <c r="E29" s="63">
        <f>Source!I25</f>
        <v>0.15</v>
      </c>
      <c r="F29" s="63"/>
      <c r="G29" s="63"/>
      <c r="H29" s="63"/>
      <c r="I29" s="63"/>
      <c r="J29" s="64"/>
      <c r="K29" s="64"/>
    </row>
    <row r="30" spans="1:255" ht="24" x14ac:dyDescent="0.2">
      <c r="A30" s="61" t="s">
        <v>38</v>
      </c>
      <c r="B30" s="62" t="s">
        <v>39</v>
      </c>
      <c r="C30" s="62" t="s">
        <v>40</v>
      </c>
      <c r="D30" s="62" t="s">
        <v>30</v>
      </c>
      <c r="E30" s="63">
        <f>Source!I26</f>
        <v>1.67</v>
      </c>
      <c r="F30" s="63"/>
      <c r="G30" s="63"/>
      <c r="H30" s="63"/>
      <c r="I30" s="63"/>
      <c r="J30" s="64"/>
      <c r="K30" s="64"/>
    </row>
    <row r="31" spans="1:255" ht="36" x14ac:dyDescent="0.2">
      <c r="A31" s="65" t="s">
        <v>42</v>
      </c>
      <c r="B31" s="48" t="s">
        <v>43</v>
      </c>
      <c r="C31" s="66" t="s">
        <v>44</v>
      </c>
      <c r="D31" s="48" t="s">
        <v>45</v>
      </c>
      <c r="E31" s="67"/>
      <c r="F31" s="67"/>
      <c r="G31" s="67" t="e">
        <f>Source!I27</f>
        <v>#REF!</v>
      </c>
      <c r="H31" s="67" t="e">
        <f>G31</f>
        <v>#REF!</v>
      </c>
      <c r="I31" s="68" t="e">
        <f>IF(AND((G31-H31)&lt;0,H31&gt;0),ABS(G31-H31)," ")</f>
        <v>#REF!</v>
      </c>
      <c r="J31" s="69" t="e">
        <f>IF(AND((G31-H31)&gt;0, H31&gt;0),G31-H31," ")</f>
        <v>#REF!</v>
      </c>
      <c r="K31" s="69"/>
    </row>
    <row r="32" spans="1:255" ht="48" x14ac:dyDescent="0.2">
      <c r="A32" s="61" t="s">
        <v>50</v>
      </c>
      <c r="B32" s="62" t="s">
        <v>51</v>
      </c>
      <c r="C32" s="62" t="s">
        <v>52</v>
      </c>
      <c r="D32" s="62" t="s">
        <v>19</v>
      </c>
      <c r="E32" s="63">
        <f>Source!I28</f>
        <v>0.20699999999999999</v>
      </c>
      <c r="F32" s="63"/>
      <c r="G32" s="63"/>
      <c r="H32" s="63"/>
      <c r="I32" s="63"/>
      <c r="J32" s="64"/>
      <c r="K32" s="64"/>
    </row>
    <row r="33" spans="1:11" ht="24" x14ac:dyDescent="0.2">
      <c r="A33" s="61" t="s">
        <v>54</v>
      </c>
      <c r="B33" s="62" t="s">
        <v>55</v>
      </c>
      <c r="C33" s="62" t="s">
        <v>56</v>
      </c>
      <c r="D33" s="62" t="s">
        <v>30</v>
      </c>
      <c r="E33" s="63">
        <f>Source!I29</f>
        <v>2.0699999999999998</v>
      </c>
      <c r="F33" s="63"/>
      <c r="G33" s="63"/>
      <c r="H33" s="63"/>
      <c r="I33" s="63"/>
      <c r="J33" s="64"/>
      <c r="K33" s="64"/>
    </row>
    <row r="34" spans="1:11" ht="24" x14ac:dyDescent="0.2">
      <c r="A34" s="61" t="s">
        <v>58</v>
      </c>
      <c r="B34" s="62" t="s">
        <v>59</v>
      </c>
      <c r="C34" s="62" t="s">
        <v>60</v>
      </c>
      <c r="D34" s="62" t="s">
        <v>61</v>
      </c>
      <c r="E34" s="63">
        <f>Source!I30</f>
        <v>7.58</v>
      </c>
      <c r="F34" s="63"/>
      <c r="G34" s="63"/>
      <c r="H34" s="63"/>
      <c r="I34" s="63"/>
      <c r="J34" s="64"/>
      <c r="K34" s="64"/>
    </row>
    <row r="35" spans="1:11" ht="24" x14ac:dyDescent="0.2">
      <c r="A35" s="65" t="s">
        <v>492</v>
      </c>
      <c r="B35" s="48" t="s">
        <v>291</v>
      </c>
      <c r="C35" s="66" t="s">
        <v>292</v>
      </c>
      <c r="D35" s="48" t="s">
        <v>293</v>
      </c>
      <c r="E35" s="67"/>
      <c r="F35" s="67">
        <v>0.98</v>
      </c>
      <c r="G35" s="67">
        <f>F35*E34</f>
        <v>7.4283999999999999</v>
      </c>
      <c r="H35" s="67">
        <f>G35</f>
        <v>7.4283999999999999</v>
      </c>
      <c r="I35" s="68" t="str">
        <f>IF(AND((G35-H35)&lt;0,H35&gt;0),ABS(G35-H35)," ")</f>
        <v xml:space="preserve"> </v>
      </c>
      <c r="J35" s="69" t="str">
        <f>IF(AND((G35-H35)&gt;0, H35&gt;0),G35-H35," ")</f>
        <v xml:space="preserve"> </v>
      </c>
      <c r="K35" s="69"/>
    </row>
    <row r="36" spans="1:11" ht="36" x14ac:dyDescent="0.2">
      <c r="A36" s="61" t="s">
        <v>68</v>
      </c>
      <c r="B36" s="62" t="s">
        <v>69</v>
      </c>
      <c r="C36" s="62" t="s">
        <v>70</v>
      </c>
      <c r="D36" s="62" t="s">
        <v>61</v>
      </c>
      <c r="E36" s="63">
        <f>Source!I31</f>
        <v>20.7</v>
      </c>
      <c r="F36" s="63"/>
      <c r="G36" s="63"/>
      <c r="H36" s="63"/>
      <c r="I36" s="63"/>
      <c r="J36" s="64"/>
      <c r="K36" s="64"/>
    </row>
    <row r="37" spans="1:11" ht="24" x14ac:dyDescent="0.2">
      <c r="A37" s="65" t="s">
        <v>492</v>
      </c>
      <c r="B37" s="48" t="s">
        <v>291</v>
      </c>
      <c r="C37" s="66" t="s">
        <v>292</v>
      </c>
      <c r="D37" s="48" t="s">
        <v>293</v>
      </c>
      <c r="E37" s="67"/>
      <c r="F37" s="67">
        <v>0.51</v>
      </c>
      <c r="G37" s="67">
        <f>F37*E36</f>
        <v>10.557</v>
      </c>
      <c r="H37" s="67">
        <f>G37</f>
        <v>10.557</v>
      </c>
      <c r="I37" s="68" t="str">
        <f>IF(AND((G37-H37)&lt;0,H37&gt;0),ABS(G37-H37)," ")</f>
        <v xml:space="preserve"> </v>
      </c>
      <c r="J37" s="69" t="str">
        <f>IF(AND((G37-H37)&gt;0, H37&gt;0),G37-H37," ")</f>
        <v xml:space="preserve"> </v>
      </c>
      <c r="K37" s="69"/>
    </row>
    <row r="38" spans="1:11" ht="36" x14ac:dyDescent="0.2">
      <c r="A38" s="43" t="s">
        <v>72</v>
      </c>
      <c r="B38" s="44" t="s">
        <v>73</v>
      </c>
      <c r="C38" s="70" t="s">
        <v>74</v>
      </c>
      <c r="D38" s="44" t="s">
        <v>75</v>
      </c>
      <c r="E38" s="45"/>
      <c r="F38" s="45"/>
      <c r="G38" s="45" t="e">
        <f>Source!I32</f>
        <v>#REF!</v>
      </c>
      <c r="H38" s="45" t="e">
        <f>G38</f>
        <v>#REF!</v>
      </c>
      <c r="I38" s="45" t="e">
        <f>IF(AND((G38-H38)&lt;0,H38&gt;0),ABS(G38-H38)," ")</f>
        <v>#REF!</v>
      </c>
      <c r="J38" s="71" t="e">
        <f>IF(AND((G38-H38)&gt;0, H38&gt;0),G38-H38," ")</f>
        <v>#REF!</v>
      </c>
      <c r="K38" s="71"/>
    </row>
    <row r="39" spans="1:11" ht="24" x14ac:dyDescent="0.2">
      <c r="A39" s="61" t="s">
        <v>81</v>
      </c>
      <c r="B39" s="62" t="s">
        <v>82</v>
      </c>
      <c r="C39" s="62" t="s">
        <v>83</v>
      </c>
      <c r="D39" s="62" t="s">
        <v>84</v>
      </c>
      <c r="E39" s="63">
        <f>Source!I33</f>
        <v>0.27600000000000002</v>
      </c>
      <c r="F39" s="63"/>
      <c r="G39" s="63"/>
      <c r="H39" s="63"/>
      <c r="I39" s="63"/>
      <c r="J39" s="64"/>
      <c r="K39" s="64"/>
    </row>
    <row r="40" spans="1:11" ht="24" x14ac:dyDescent="0.2">
      <c r="A40" s="65" t="s">
        <v>492</v>
      </c>
      <c r="B40" s="48" t="s">
        <v>296</v>
      </c>
      <c r="C40" s="66" t="s">
        <v>298</v>
      </c>
      <c r="D40" s="48" t="s">
        <v>299</v>
      </c>
      <c r="E40" s="67"/>
      <c r="F40" s="67">
        <v>8.0000000000000004E-4</v>
      </c>
      <c r="G40" s="67">
        <f>F40*E39</f>
        <v>2.2080000000000003E-4</v>
      </c>
      <c r="H40" s="67">
        <f>G40</f>
        <v>2.2080000000000003E-4</v>
      </c>
      <c r="I40" s="68" t="str">
        <f>IF(AND((G40-H40)&lt;0,H40&gt;0),ABS(G40-H40)," ")</f>
        <v xml:space="preserve"> </v>
      </c>
      <c r="J40" s="69" t="str">
        <f>IF(AND((G40-H40)&gt;0, H40&gt;0),G40-H40," ")</f>
        <v xml:space="preserve"> </v>
      </c>
      <c r="K40" s="69"/>
    </row>
    <row r="41" spans="1:11" ht="36" x14ac:dyDescent="0.2">
      <c r="A41" s="65" t="s">
        <v>492</v>
      </c>
      <c r="B41" s="48" t="s">
        <v>300</v>
      </c>
      <c r="C41" s="66" t="s">
        <v>302</v>
      </c>
      <c r="D41" s="48" t="s">
        <v>45</v>
      </c>
      <c r="E41" s="67"/>
      <c r="F41" s="67">
        <v>0.08</v>
      </c>
      <c r="G41" s="67">
        <f>F41*E39</f>
        <v>2.2080000000000002E-2</v>
      </c>
      <c r="H41" s="67">
        <f>G41</f>
        <v>2.2080000000000002E-2</v>
      </c>
      <c r="I41" s="68" t="str">
        <f>IF(AND((G41-H41)&lt;0,H41&gt;0),ABS(G41-H41)," ")</f>
        <v xml:space="preserve"> </v>
      </c>
      <c r="J41" s="69" t="str">
        <f>IF(AND((G41-H41)&gt;0, H41&gt;0),G41-H41," ")</f>
        <v xml:space="preserve"> </v>
      </c>
      <c r="K41" s="69"/>
    </row>
    <row r="42" spans="1:11" ht="36" x14ac:dyDescent="0.2">
      <c r="A42" s="65"/>
      <c r="B42" s="48" t="s">
        <v>98</v>
      </c>
      <c r="C42" s="66" t="s">
        <v>99</v>
      </c>
      <c r="D42" s="48" t="s">
        <v>95</v>
      </c>
      <c r="E42" s="67"/>
      <c r="F42" s="67">
        <v>1000</v>
      </c>
      <c r="G42" s="67">
        <f>F42*E39</f>
        <v>276</v>
      </c>
      <c r="H42" s="67">
        <f>G42</f>
        <v>276</v>
      </c>
      <c r="I42" s="68" t="str">
        <f>IF(AND((G42-H42)&lt;0,H42&gt;0),ABS(G42-H42)," ")</f>
        <v xml:space="preserve"> </v>
      </c>
      <c r="J42" s="69" t="str">
        <f>IF(AND((G42-H42)&gt;0, H42&gt;0),G42-H42," ")</f>
        <v xml:space="preserve"> </v>
      </c>
      <c r="K42" s="69"/>
    </row>
    <row r="43" spans="1:11" ht="36" x14ac:dyDescent="0.2">
      <c r="A43" s="61" t="s">
        <v>101</v>
      </c>
      <c r="B43" s="62" t="s">
        <v>102</v>
      </c>
      <c r="C43" s="62" t="s">
        <v>103</v>
      </c>
      <c r="D43" s="62" t="s">
        <v>61</v>
      </c>
      <c r="E43" s="63">
        <f>Source!I36</f>
        <v>1.2</v>
      </c>
      <c r="F43" s="63"/>
      <c r="G43" s="63"/>
      <c r="H43" s="63"/>
      <c r="I43" s="63"/>
      <c r="J43" s="64"/>
      <c r="K43" s="64"/>
    </row>
    <row r="44" spans="1:11" ht="24" x14ac:dyDescent="0.2">
      <c r="A44" s="65" t="s">
        <v>492</v>
      </c>
      <c r="B44" s="48" t="s">
        <v>309</v>
      </c>
      <c r="C44" s="66" t="s">
        <v>311</v>
      </c>
      <c r="D44" s="48" t="s">
        <v>312</v>
      </c>
      <c r="E44" s="67"/>
      <c r="F44" s="67">
        <v>9.6000000000000002E-2</v>
      </c>
      <c r="G44" s="67">
        <f>F44*E43</f>
        <v>0.1152</v>
      </c>
      <c r="H44" s="67">
        <f>G44</f>
        <v>0.1152</v>
      </c>
      <c r="I44" s="68" t="str">
        <f>IF(AND((G44-H44)&lt;0,H44&gt;0),ABS(G44-H44)," ")</f>
        <v xml:space="preserve"> </v>
      </c>
      <c r="J44" s="69" t="str">
        <f>IF(AND((G44-H44)&gt;0, H44&gt;0),G44-H44," ")</f>
        <v xml:space="preserve"> </v>
      </c>
      <c r="K44" s="69"/>
    </row>
    <row r="45" spans="1:11" ht="24" x14ac:dyDescent="0.2">
      <c r="A45" s="65" t="s">
        <v>492</v>
      </c>
      <c r="B45" s="48" t="s">
        <v>313</v>
      </c>
      <c r="C45" s="66" t="s">
        <v>315</v>
      </c>
      <c r="D45" s="48" t="s">
        <v>299</v>
      </c>
      <c r="E45" s="67"/>
      <c r="F45" s="67">
        <v>5.0000000000000001E-4</v>
      </c>
      <c r="G45" s="67">
        <f>F45*E43</f>
        <v>5.9999999999999995E-4</v>
      </c>
      <c r="H45" s="67">
        <f>G45</f>
        <v>5.9999999999999995E-4</v>
      </c>
      <c r="I45" s="68" t="str">
        <f>IF(AND((G45-H45)&lt;0,H45&gt;0),ABS(G45-H45)," ")</f>
        <v xml:space="preserve"> </v>
      </c>
      <c r="J45" s="69" t="str">
        <f>IF(AND((G45-H45)&gt;0, H45&gt;0),G45-H45," ")</f>
        <v xml:space="preserve"> </v>
      </c>
      <c r="K45" s="69"/>
    </row>
    <row r="46" spans="1:11" ht="24" x14ac:dyDescent="0.2">
      <c r="A46" s="65" t="s">
        <v>492</v>
      </c>
      <c r="B46" s="48" t="s">
        <v>316</v>
      </c>
      <c r="C46" s="66" t="s">
        <v>318</v>
      </c>
      <c r="D46" s="48" t="s">
        <v>299</v>
      </c>
      <c r="E46" s="67"/>
      <c r="F46" s="67">
        <v>6.0000000000000002E-5</v>
      </c>
      <c r="G46" s="67">
        <f>F46*E43</f>
        <v>7.2000000000000002E-5</v>
      </c>
      <c r="H46" s="67">
        <f>G46</f>
        <v>7.2000000000000002E-5</v>
      </c>
      <c r="I46" s="68" t="str">
        <f>IF(AND((G46-H46)&lt;0,H46&gt;0),ABS(G46-H46)," ")</f>
        <v xml:space="preserve"> </v>
      </c>
      <c r="J46" s="69" t="str">
        <f>IF(AND((G46-H46)&gt;0, H46&gt;0),G46-H46," ")</f>
        <v xml:space="preserve"> </v>
      </c>
      <c r="K46" s="69"/>
    </row>
    <row r="47" spans="1:11" ht="24" x14ac:dyDescent="0.2">
      <c r="A47" s="65" t="s">
        <v>492</v>
      </c>
      <c r="B47" s="48" t="s">
        <v>291</v>
      </c>
      <c r="C47" s="66" t="s">
        <v>292</v>
      </c>
      <c r="D47" s="48" t="s">
        <v>293</v>
      </c>
      <c r="E47" s="67"/>
      <c r="F47" s="67">
        <v>4.33</v>
      </c>
      <c r="G47" s="67">
        <f>F47*E43</f>
        <v>5.1959999999999997</v>
      </c>
      <c r="H47" s="67">
        <f>G47</f>
        <v>5.1959999999999997</v>
      </c>
      <c r="I47" s="68" t="str">
        <f>IF(AND((G47-H47)&lt;0,H47&gt;0),ABS(G47-H47)," ")</f>
        <v xml:space="preserve"> </v>
      </c>
      <c r="J47" s="69" t="str">
        <f>IF(AND((G47-H47)&gt;0, H47&gt;0),G47-H47," ")</f>
        <v xml:space="preserve"> </v>
      </c>
      <c r="K47" s="69"/>
    </row>
    <row r="48" spans="1:11" ht="36" x14ac:dyDescent="0.2">
      <c r="A48" s="61" t="s">
        <v>105</v>
      </c>
      <c r="B48" s="62" t="s">
        <v>106</v>
      </c>
      <c r="C48" s="62" t="s">
        <v>107</v>
      </c>
      <c r="D48" s="62" t="s">
        <v>61</v>
      </c>
      <c r="E48" s="63">
        <f>Source!I37</f>
        <v>1.56</v>
      </c>
      <c r="F48" s="63"/>
      <c r="G48" s="63"/>
      <c r="H48" s="63"/>
      <c r="I48" s="63"/>
      <c r="J48" s="64"/>
      <c r="K48" s="64"/>
    </row>
    <row r="49" spans="1:11" ht="24" x14ac:dyDescent="0.2">
      <c r="A49" s="65" t="s">
        <v>492</v>
      </c>
      <c r="B49" s="48" t="s">
        <v>309</v>
      </c>
      <c r="C49" s="66" t="s">
        <v>311</v>
      </c>
      <c r="D49" s="48" t="s">
        <v>312</v>
      </c>
      <c r="E49" s="67"/>
      <c r="F49" s="67">
        <v>9.6000000000000002E-2</v>
      </c>
      <c r="G49" s="67">
        <f>F49*E48</f>
        <v>0.14976</v>
      </c>
      <c r="H49" s="67">
        <f>G49</f>
        <v>0.14976</v>
      </c>
      <c r="I49" s="68" t="str">
        <f>IF(AND((G49-H49)&lt;0,H49&gt;0),ABS(G49-H49)," ")</f>
        <v xml:space="preserve"> </v>
      </c>
      <c r="J49" s="69" t="str">
        <f>IF(AND((G49-H49)&gt;0, H49&gt;0),G49-H49," ")</f>
        <v xml:space="preserve"> </v>
      </c>
      <c r="K49" s="69"/>
    </row>
    <row r="50" spans="1:11" ht="24" x14ac:dyDescent="0.2">
      <c r="A50" s="65" t="s">
        <v>492</v>
      </c>
      <c r="B50" s="48" t="s">
        <v>313</v>
      </c>
      <c r="C50" s="66" t="s">
        <v>315</v>
      </c>
      <c r="D50" s="48" t="s">
        <v>299</v>
      </c>
      <c r="E50" s="67"/>
      <c r="F50" s="67">
        <v>5.0000000000000001E-4</v>
      </c>
      <c r="G50" s="67">
        <f>F50*E48</f>
        <v>7.8000000000000009E-4</v>
      </c>
      <c r="H50" s="67">
        <f>G50</f>
        <v>7.8000000000000009E-4</v>
      </c>
      <c r="I50" s="68" t="str">
        <f>IF(AND((G50-H50)&lt;0,H50&gt;0),ABS(G50-H50)," ")</f>
        <v xml:space="preserve"> </v>
      </c>
      <c r="J50" s="69" t="str">
        <f>IF(AND((G50-H50)&gt;0, H50&gt;0),G50-H50," ")</f>
        <v xml:space="preserve"> </v>
      </c>
      <c r="K50" s="69"/>
    </row>
    <row r="51" spans="1:11" ht="24" x14ac:dyDescent="0.2">
      <c r="A51" s="65" t="s">
        <v>492</v>
      </c>
      <c r="B51" s="48" t="s">
        <v>316</v>
      </c>
      <c r="C51" s="66" t="s">
        <v>318</v>
      </c>
      <c r="D51" s="48" t="s">
        <v>299</v>
      </c>
      <c r="E51" s="67"/>
      <c r="F51" s="67">
        <v>6.0000000000000002E-5</v>
      </c>
      <c r="G51" s="67">
        <f>F51*E48</f>
        <v>9.3600000000000012E-5</v>
      </c>
      <c r="H51" s="67">
        <f>G51</f>
        <v>9.3600000000000012E-5</v>
      </c>
      <c r="I51" s="68" t="str">
        <f>IF(AND((G51-H51)&lt;0,H51&gt;0),ABS(G51-H51)," ")</f>
        <v xml:space="preserve"> </v>
      </c>
      <c r="J51" s="69" t="str">
        <f>IF(AND((G51-H51)&gt;0, H51&gt;0),G51-H51," ")</f>
        <v xml:space="preserve"> </v>
      </c>
      <c r="K51" s="69"/>
    </row>
    <row r="52" spans="1:11" ht="24" x14ac:dyDescent="0.2">
      <c r="A52" s="65" t="s">
        <v>492</v>
      </c>
      <c r="B52" s="48" t="s">
        <v>291</v>
      </c>
      <c r="C52" s="66" t="s">
        <v>292</v>
      </c>
      <c r="D52" s="48" t="s">
        <v>293</v>
      </c>
      <c r="E52" s="67"/>
      <c r="F52" s="67">
        <v>5.53</v>
      </c>
      <c r="G52" s="67">
        <f>F52*E48</f>
        <v>8.6268000000000011</v>
      </c>
      <c r="H52" s="67">
        <f>G52</f>
        <v>8.6268000000000011</v>
      </c>
      <c r="I52" s="68" t="str">
        <f>IF(AND((G52-H52)&lt;0,H52&gt;0),ABS(G52-H52)," ")</f>
        <v xml:space="preserve"> </v>
      </c>
      <c r="J52" s="69" t="str">
        <f>IF(AND((G52-H52)&gt;0, H52&gt;0),G52-H52," ")</f>
        <v xml:space="preserve"> </v>
      </c>
      <c r="K52" s="69"/>
    </row>
    <row r="53" spans="1:11" ht="36" x14ac:dyDescent="0.2">
      <c r="A53" s="61" t="s">
        <v>109</v>
      </c>
      <c r="B53" s="62" t="s">
        <v>110</v>
      </c>
      <c r="C53" s="62" t="s">
        <v>111</v>
      </c>
      <c r="D53" s="62" t="s">
        <v>61</v>
      </c>
      <c r="E53" s="63">
        <f>Source!I38</f>
        <v>15.3</v>
      </c>
      <c r="F53" s="63"/>
      <c r="G53" s="63"/>
      <c r="H53" s="63"/>
      <c r="I53" s="63"/>
      <c r="J53" s="64"/>
      <c r="K53" s="64"/>
    </row>
    <row r="54" spans="1:11" ht="24" x14ac:dyDescent="0.2">
      <c r="A54" s="65" t="s">
        <v>492</v>
      </c>
      <c r="B54" s="48" t="s">
        <v>309</v>
      </c>
      <c r="C54" s="66" t="s">
        <v>311</v>
      </c>
      <c r="D54" s="48" t="s">
        <v>312</v>
      </c>
      <c r="E54" s="67"/>
      <c r="F54" s="67">
        <v>9.6000000000000002E-2</v>
      </c>
      <c r="G54" s="67">
        <f>F54*E53</f>
        <v>1.4688000000000001</v>
      </c>
      <c r="H54" s="67">
        <f t="shared" ref="H54:H59" si="0">G54</f>
        <v>1.4688000000000001</v>
      </c>
      <c r="I54" s="68" t="str">
        <f t="shared" ref="I54:I59" si="1">IF(AND((G54-H54)&lt;0,H54&gt;0),ABS(G54-H54)," ")</f>
        <v xml:space="preserve"> </v>
      </c>
      <c r="J54" s="69" t="str">
        <f t="shared" ref="J54:J59" si="2">IF(AND((G54-H54)&gt;0, H54&gt;0),G54-H54," ")</f>
        <v xml:space="preserve"> </v>
      </c>
      <c r="K54" s="69"/>
    </row>
    <row r="55" spans="1:11" ht="36" x14ac:dyDescent="0.2">
      <c r="A55" s="65" t="s">
        <v>492</v>
      </c>
      <c r="B55" s="48" t="s">
        <v>319</v>
      </c>
      <c r="C55" s="66" t="s">
        <v>321</v>
      </c>
      <c r="D55" s="48" t="s">
        <v>299</v>
      </c>
      <c r="E55" s="67"/>
      <c r="F55" s="67">
        <v>1E-3</v>
      </c>
      <c r="G55" s="67">
        <f>F55*E53</f>
        <v>1.5300000000000001E-2</v>
      </c>
      <c r="H55" s="67">
        <f t="shared" si="0"/>
        <v>1.5300000000000001E-2</v>
      </c>
      <c r="I55" s="68" t="str">
        <f t="shared" si="1"/>
        <v xml:space="preserve"> </v>
      </c>
      <c r="J55" s="69" t="str">
        <f t="shared" si="2"/>
        <v xml:space="preserve"> </v>
      </c>
      <c r="K55" s="69"/>
    </row>
    <row r="56" spans="1:11" ht="24" x14ac:dyDescent="0.2">
      <c r="A56" s="65" t="s">
        <v>492</v>
      </c>
      <c r="B56" s="48" t="s">
        <v>322</v>
      </c>
      <c r="C56" s="66" t="s">
        <v>324</v>
      </c>
      <c r="D56" s="48" t="s">
        <v>299</v>
      </c>
      <c r="E56" s="67"/>
      <c r="F56" s="67">
        <v>0.01</v>
      </c>
      <c r="G56" s="67">
        <f>F56*E53</f>
        <v>0.153</v>
      </c>
      <c r="H56" s="67">
        <f t="shared" si="0"/>
        <v>0.153</v>
      </c>
      <c r="I56" s="68" t="str">
        <f t="shared" si="1"/>
        <v xml:space="preserve"> </v>
      </c>
      <c r="J56" s="69" t="str">
        <f t="shared" si="2"/>
        <v xml:space="preserve"> </v>
      </c>
      <c r="K56" s="69"/>
    </row>
    <row r="57" spans="1:11" ht="24" x14ac:dyDescent="0.2">
      <c r="A57" s="65" t="s">
        <v>492</v>
      </c>
      <c r="B57" s="48" t="s">
        <v>325</v>
      </c>
      <c r="C57" s="66" t="s">
        <v>327</v>
      </c>
      <c r="D57" s="48" t="s">
        <v>328</v>
      </c>
      <c r="E57" s="67"/>
      <c r="F57" s="67">
        <v>0.25</v>
      </c>
      <c r="G57" s="67">
        <f>F57*E53</f>
        <v>3.8250000000000002</v>
      </c>
      <c r="H57" s="67">
        <f t="shared" si="0"/>
        <v>3.8250000000000002</v>
      </c>
      <c r="I57" s="68" t="str">
        <f t="shared" si="1"/>
        <v xml:space="preserve"> </v>
      </c>
      <c r="J57" s="69" t="str">
        <f t="shared" si="2"/>
        <v xml:space="preserve"> </v>
      </c>
      <c r="K57" s="69"/>
    </row>
    <row r="58" spans="1:11" ht="24" x14ac:dyDescent="0.2">
      <c r="A58" s="65" t="s">
        <v>492</v>
      </c>
      <c r="B58" s="48" t="s">
        <v>316</v>
      </c>
      <c r="C58" s="66" t="s">
        <v>318</v>
      </c>
      <c r="D58" s="48" t="s">
        <v>299</v>
      </c>
      <c r="E58" s="67"/>
      <c r="F58" s="67">
        <v>6.0000000000000002E-5</v>
      </c>
      <c r="G58" s="67">
        <f>F58*E53</f>
        <v>9.1800000000000009E-4</v>
      </c>
      <c r="H58" s="67">
        <f t="shared" si="0"/>
        <v>9.1800000000000009E-4</v>
      </c>
      <c r="I58" s="68" t="str">
        <f t="shared" si="1"/>
        <v xml:space="preserve"> </v>
      </c>
      <c r="J58" s="69" t="str">
        <f t="shared" si="2"/>
        <v xml:space="preserve"> </v>
      </c>
      <c r="K58" s="69"/>
    </row>
    <row r="59" spans="1:11" ht="24" x14ac:dyDescent="0.2">
      <c r="A59" s="65" t="s">
        <v>492</v>
      </c>
      <c r="B59" s="48" t="s">
        <v>291</v>
      </c>
      <c r="C59" s="66" t="s">
        <v>292</v>
      </c>
      <c r="D59" s="48" t="s">
        <v>293</v>
      </c>
      <c r="E59" s="67"/>
      <c r="F59" s="67">
        <v>3.28</v>
      </c>
      <c r="G59" s="67">
        <f>F59*E53</f>
        <v>50.183999999999997</v>
      </c>
      <c r="H59" s="67">
        <f t="shared" si="0"/>
        <v>50.183999999999997</v>
      </c>
      <c r="I59" s="68" t="str">
        <f t="shared" si="1"/>
        <v xml:space="preserve"> </v>
      </c>
      <c r="J59" s="69" t="str">
        <f t="shared" si="2"/>
        <v xml:space="preserve"> </v>
      </c>
      <c r="K59" s="69"/>
    </row>
    <row r="60" spans="1:11" ht="24" x14ac:dyDescent="0.2">
      <c r="A60" s="61" t="s">
        <v>113</v>
      </c>
      <c r="B60" s="62" t="s">
        <v>114</v>
      </c>
      <c r="C60" s="62" t="s">
        <v>115</v>
      </c>
      <c r="D60" s="62" t="s">
        <v>61</v>
      </c>
      <c r="E60" s="63">
        <f>Source!I39</f>
        <v>14.64</v>
      </c>
      <c r="F60" s="63"/>
      <c r="G60" s="63"/>
      <c r="H60" s="63"/>
      <c r="I60" s="63"/>
      <c r="J60" s="64"/>
      <c r="K60" s="64"/>
    </row>
    <row r="61" spans="1:11" ht="24" x14ac:dyDescent="0.2">
      <c r="A61" s="65" t="s">
        <v>492</v>
      </c>
      <c r="B61" s="48" t="s">
        <v>309</v>
      </c>
      <c r="C61" s="66" t="s">
        <v>311</v>
      </c>
      <c r="D61" s="48" t="s">
        <v>312</v>
      </c>
      <c r="E61" s="67"/>
      <c r="F61" s="67">
        <v>9.6000000000000002E-2</v>
      </c>
      <c r="G61" s="67">
        <f>F61*E60</f>
        <v>1.40544</v>
      </c>
      <c r="H61" s="67">
        <f t="shared" ref="H61:H68" si="3">G61</f>
        <v>1.40544</v>
      </c>
      <c r="I61" s="68" t="str">
        <f t="shared" ref="I61:I68" si="4">IF(AND((G61-H61)&lt;0,H61&gt;0),ABS(G61-H61)," ")</f>
        <v xml:space="preserve"> </v>
      </c>
      <c r="J61" s="69" t="str">
        <f t="shared" ref="J61:J68" si="5">IF(AND((G61-H61)&gt;0, H61&gt;0),G61-H61," ")</f>
        <v xml:space="preserve"> </v>
      </c>
      <c r="K61" s="69"/>
    </row>
    <row r="62" spans="1:11" ht="36" x14ac:dyDescent="0.2">
      <c r="A62" s="65" t="s">
        <v>492</v>
      </c>
      <c r="B62" s="48" t="s">
        <v>319</v>
      </c>
      <c r="C62" s="66" t="s">
        <v>321</v>
      </c>
      <c r="D62" s="48" t="s">
        <v>299</v>
      </c>
      <c r="E62" s="67"/>
      <c r="F62" s="67">
        <v>1E-3</v>
      </c>
      <c r="G62" s="67">
        <f>F62*E60</f>
        <v>1.464E-2</v>
      </c>
      <c r="H62" s="67">
        <f t="shared" si="3"/>
        <v>1.464E-2</v>
      </c>
      <c r="I62" s="68" t="str">
        <f t="shared" si="4"/>
        <v xml:space="preserve"> </v>
      </c>
      <c r="J62" s="69" t="str">
        <f t="shared" si="5"/>
        <v xml:space="preserve"> </v>
      </c>
      <c r="K62" s="69"/>
    </row>
    <row r="63" spans="1:11" ht="24" x14ac:dyDescent="0.2">
      <c r="A63" s="65" t="s">
        <v>492</v>
      </c>
      <c r="B63" s="48" t="s">
        <v>322</v>
      </c>
      <c r="C63" s="66" t="s">
        <v>324</v>
      </c>
      <c r="D63" s="48" t="s">
        <v>299</v>
      </c>
      <c r="E63" s="67"/>
      <c r="F63" s="67">
        <v>0.01</v>
      </c>
      <c r="G63" s="67">
        <f>F63*E60</f>
        <v>0.1464</v>
      </c>
      <c r="H63" s="67">
        <f t="shared" si="3"/>
        <v>0.1464</v>
      </c>
      <c r="I63" s="68" t="str">
        <f t="shared" si="4"/>
        <v xml:space="preserve"> </v>
      </c>
      <c r="J63" s="69" t="str">
        <f t="shared" si="5"/>
        <v xml:space="preserve"> </v>
      </c>
      <c r="K63" s="69"/>
    </row>
    <row r="64" spans="1:11" ht="24" x14ac:dyDescent="0.2">
      <c r="A64" s="65" t="s">
        <v>492</v>
      </c>
      <c r="B64" s="48" t="s">
        <v>325</v>
      </c>
      <c r="C64" s="66" t="s">
        <v>327</v>
      </c>
      <c r="D64" s="48" t="s">
        <v>328</v>
      </c>
      <c r="E64" s="67"/>
      <c r="F64" s="67">
        <v>0.25</v>
      </c>
      <c r="G64" s="67">
        <f>F64*E60</f>
        <v>3.66</v>
      </c>
      <c r="H64" s="67">
        <f t="shared" si="3"/>
        <v>3.66</v>
      </c>
      <c r="I64" s="68" t="str">
        <f t="shared" si="4"/>
        <v xml:space="preserve"> </v>
      </c>
      <c r="J64" s="69" t="str">
        <f t="shared" si="5"/>
        <v xml:space="preserve"> </v>
      </c>
      <c r="K64" s="69"/>
    </row>
    <row r="65" spans="1:255" ht="24" x14ac:dyDescent="0.2">
      <c r="A65" s="65" t="s">
        <v>492</v>
      </c>
      <c r="B65" s="48" t="s">
        <v>316</v>
      </c>
      <c r="C65" s="66" t="s">
        <v>318</v>
      </c>
      <c r="D65" s="48" t="s">
        <v>299</v>
      </c>
      <c r="E65" s="67"/>
      <c r="F65" s="67">
        <v>6.0000000000000002E-5</v>
      </c>
      <c r="G65" s="67">
        <f>F65*E60</f>
        <v>8.784000000000001E-4</v>
      </c>
      <c r="H65" s="67">
        <f t="shared" si="3"/>
        <v>8.784000000000001E-4</v>
      </c>
      <c r="I65" s="68" t="str">
        <f t="shared" si="4"/>
        <v xml:space="preserve"> </v>
      </c>
      <c r="J65" s="69" t="str">
        <f t="shared" si="5"/>
        <v xml:space="preserve"> </v>
      </c>
      <c r="K65" s="69"/>
    </row>
    <row r="66" spans="1:255" ht="24" x14ac:dyDescent="0.2">
      <c r="A66" s="65" t="s">
        <v>492</v>
      </c>
      <c r="B66" s="48" t="s">
        <v>291</v>
      </c>
      <c r="C66" s="66" t="s">
        <v>292</v>
      </c>
      <c r="D66" s="48" t="s">
        <v>293</v>
      </c>
      <c r="E66" s="67"/>
      <c r="F66" s="67">
        <v>3.31</v>
      </c>
      <c r="G66" s="67">
        <f>F66*E60</f>
        <v>48.458400000000005</v>
      </c>
      <c r="H66" s="67">
        <f t="shared" si="3"/>
        <v>48.458400000000005</v>
      </c>
      <c r="I66" s="68" t="str">
        <f t="shared" si="4"/>
        <v xml:space="preserve"> </v>
      </c>
      <c r="J66" s="69" t="str">
        <f t="shared" si="5"/>
        <v xml:space="preserve"> </v>
      </c>
      <c r="K66" s="69"/>
    </row>
    <row r="67" spans="1:255" ht="24" x14ac:dyDescent="0.2">
      <c r="A67" s="65" t="s">
        <v>117</v>
      </c>
      <c r="B67" s="48" t="s">
        <v>118</v>
      </c>
      <c r="C67" s="66" t="s">
        <v>119</v>
      </c>
      <c r="D67" s="48" t="s">
        <v>120</v>
      </c>
      <c r="E67" s="67"/>
      <c r="F67" s="67"/>
      <c r="G67" s="67" t="e">
        <f>Source!I40</f>
        <v>#REF!</v>
      </c>
      <c r="H67" s="67" t="e">
        <f t="shared" si="3"/>
        <v>#REF!</v>
      </c>
      <c r="I67" s="68" t="e">
        <f t="shared" si="4"/>
        <v>#REF!</v>
      </c>
      <c r="J67" s="69" t="e">
        <f t="shared" si="5"/>
        <v>#REF!</v>
      </c>
      <c r="K67" s="69"/>
    </row>
    <row r="68" spans="1:255" x14ac:dyDescent="0.2">
      <c r="A68" s="65" t="s">
        <v>125</v>
      </c>
      <c r="B68" s="48" t="s">
        <v>126</v>
      </c>
      <c r="C68" s="66" t="s">
        <v>127</v>
      </c>
      <c r="D68" s="48" t="s">
        <v>95</v>
      </c>
      <c r="E68" s="67"/>
      <c r="F68" s="67"/>
      <c r="G68" s="67" t="e">
        <f>Source!I41</f>
        <v>#REF!</v>
      </c>
      <c r="H68" s="67" t="e">
        <f t="shared" si="3"/>
        <v>#REF!</v>
      </c>
      <c r="I68" s="68" t="e">
        <f t="shared" si="4"/>
        <v>#REF!</v>
      </c>
      <c r="J68" s="69" t="e">
        <f t="shared" si="5"/>
        <v>#REF!</v>
      </c>
      <c r="K68" s="69"/>
    </row>
    <row r="69" spans="1:255" ht="36" x14ac:dyDescent="0.2">
      <c r="A69" s="61" t="s">
        <v>132</v>
      </c>
      <c r="B69" s="62" t="s">
        <v>133</v>
      </c>
      <c r="C69" s="62" t="s">
        <v>134</v>
      </c>
      <c r="D69" s="62" t="s">
        <v>135</v>
      </c>
      <c r="E69" s="63">
        <f>Source!I42</f>
        <v>24</v>
      </c>
      <c r="F69" s="63"/>
      <c r="G69" s="63"/>
      <c r="H69" s="63"/>
      <c r="I69" s="63"/>
      <c r="J69" s="64"/>
      <c r="K69" s="64"/>
    </row>
    <row r="70" spans="1:255" ht="24" x14ac:dyDescent="0.2">
      <c r="A70" s="65" t="s">
        <v>492</v>
      </c>
      <c r="B70" s="48" t="s">
        <v>329</v>
      </c>
      <c r="C70" s="66" t="s">
        <v>331</v>
      </c>
      <c r="D70" s="48" t="s">
        <v>299</v>
      </c>
      <c r="E70" s="67"/>
      <c r="F70" s="67">
        <v>8.0000000000000004E-4</v>
      </c>
      <c r="G70" s="67">
        <f>F70*E69</f>
        <v>1.9200000000000002E-2</v>
      </c>
      <c r="H70" s="67">
        <f t="shared" ref="H70:H75" si="6">G70</f>
        <v>1.9200000000000002E-2</v>
      </c>
      <c r="I70" s="68" t="str">
        <f t="shared" ref="I70:I75" si="7">IF(AND((G70-H70)&lt;0,H70&gt;0),ABS(G70-H70)," ")</f>
        <v xml:space="preserve"> </v>
      </c>
      <c r="J70" s="69" t="str">
        <f t="shared" ref="J70:J75" si="8">IF(AND((G70-H70)&gt;0, H70&gt;0),G70-H70," ")</f>
        <v xml:space="preserve"> </v>
      </c>
      <c r="K70" s="69"/>
    </row>
    <row r="71" spans="1:255" ht="24" x14ac:dyDescent="0.2">
      <c r="A71" s="65" t="s">
        <v>492</v>
      </c>
      <c r="B71" s="48" t="s">
        <v>332</v>
      </c>
      <c r="C71" s="66" t="s">
        <v>334</v>
      </c>
      <c r="D71" s="48" t="s">
        <v>299</v>
      </c>
      <c r="E71" s="67"/>
      <c r="F71" s="67">
        <v>2.0000000000000002E-5</v>
      </c>
      <c r="G71" s="67">
        <f>F71*E69</f>
        <v>4.8000000000000007E-4</v>
      </c>
      <c r="H71" s="67">
        <f t="shared" si="6"/>
        <v>4.8000000000000007E-4</v>
      </c>
      <c r="I71" s="68" t="str">
        <f t="shared" si="7"/>
        <v xml:space="preserve"> </v>
      </c>
      <c r="J71" s="69" t="str">
        <f t="shared" si="8"/>
        <v xml:space="preserve"> </v>
      </c>
      <c r="K71" s="69"/>
    </row>
    <row r="72" spans="1:255" ht="24" x14ac:dyDescent="0.2">
      <c r="A72" s="65" t="s">
        <v>492</v>
      </c>
      <c r="B72" s="48" t="s">
        <v>309</v>
      </c>
      <c r="C72" s="66" t="s">
        <v>311</v>
      </c>
      <c r="D72" s="48" t="s">
        <v>312</v>
      </c>
      <c r="E72" s="67"/>
      <c r="F72" s="67">
        <v>2.4E-2</v>
      </c>
      <c r="G72" s="67">
        <f>F72*E69</f>
        <v>0.57600000000000007</v>
      </c>
      <c r="H72" s="67">
        <f t="shared" si="6"/>
        <v>0.57600000000000007</v>
      </c>
      <c r="I72" s="68" t="str">
        <f t="shared" si="7"/>
        <v xml:space="preserve"> </v>
      </c>
      <c r="J72" s="69" t="str">
        <f t="shared" si="8"/>
        <v xml:space="preserve"> </v>
      </c>
      <c r="K72" s="69"/>
    </row>
    <row r="73" spans="1:255" ht="24" x14ac:dyDescent="0.2">
      <c r="A73" s="65" t="s">
        <v>492</v>
      </c>
      <c r="B73" s="48" t="s">
        <v>335</v>
      </c>
      <c r="C73" s="66" t="s">
        <v>337</v>
      </c>
      <c r="D73" s="48" t="s">
        <v>338</v>
      </c>
      <c r="E73" s="67"/>
      <c r="F73" s="67">
        <v>3.1E-2</v>
      </c>
      <c r="G73" s="67">
        <f>F73*E69</f>
        <v>0.74399999999999999</v>
      </c>
      <c r="H73" s="67">
        <f t="shared" si="6"/>
        <v>0.74399999999999999</v>
      </c>
      <c r="I73" s="68" t="str">
        <f t="shared" si="7"/>
        <v xml:space="preserve"> </v>
      </c>
      <c r="J73" s="69" t="str">
        <f t="shared" si="8"/>
        <v xml:space="preserve"> </v>
      </c>
      <c r="K73" s="69"/>
    </row>
    <row r="74" spans="1:255" ht="24" x14ac:dyDescent="0.2">
      <c r="A74" s="65" t="s">
        <v>492</v>
      </c>
      <c r="B74" s="48" t="s">
        <v>291</v>
      </c>
      <c r="C74" s="66" t="s">
        <v>292</v>
      </c>
      <c r="D74" s="48" t="s">
        <v>293</v>
      </c>
      <c r="E74" s="67"/>
      <c r="F74" s="67">
        <v>1.94</v>
      </c>
      <c r="G74" s="67">
        <f>F74*E69</f>
        <v>46.56</v>
      </c>
      <c r="H74" s="67">
        <f t="shared" si="6"/>
        <v>46.56</v>
      </c>
      <c r="I74" s="68" t="str">
        <f t="shared" si="7"/>
        <v xml:space="preserve"> </v>
      </c>
      <c r="J74" s="69" t="str">
        <f t="shared" si="8"/>
        <v xml:space="preserve"> </v>
      </c>
      <c r="K74" s="69"/>
    </row>
    <row r="75" spans="1:255" ht="36" x14ac:dyDescent="0.2">
      <c r="A75" s="65"/>
      <c r="B75" s="48" t="s">
        <v>73</v>
      </c>
      <c r="C75" s="66" t="s">
        <v>138</v>
      </c>
      <c r="D75" s="48" t="s">
        <v>139</v>
      </c>
      <c r="E75" s="67"/>
      <c r="F75" s="67">
        <v>1</v>
      </c>
      <c r="G75" s="67">
        <f>F75*E69</f>
        <v>24</v>
      </c>
      <c r="H75" s="67">
        <f t="shared" si="6"/>
        <v>24</v>
      </c>
      <c r="I75" s="68" t="str">
        <f t="shared" si="7"/>
        <v xml:space="preserve"> </v>
      </c>
      <c r="J75" s="69" t="str">
        <f t="shared" si="8"/>
        <v xml:space="preserve"> </v>
      </c>
      <c r="K75" s="69"/>
    </row>
    <row r="78" spans="1:255" ht="22.5" x14ac:dyDescent="0.2">
      <c r="A78" s="25" t="s">
        <v>397</v>
      </c>
      <c r="B78" s="25"/>
      <c r="C78" s="50" t="s">
        <v>398</v>
      </c>
      <c r="D78" s="26"/>
      <c r="E78" s="26"/>
      <c r="F78" s="128" t="s">
        <v>399</v>
      </c>
      <c r="G78" s="128"/>
      <c r="BY78" s="27" t="str">
        <f>C78</f>
        <v>Ведущий инженер-сметчик СРС ООО "ОДСК-Инжиниринг"</v>
      </c>
      <c r="BZ78" s="27" t="str">
        <f>F78</f>
        <v>Мамаева Е.М.</v>
      </c>
      <c r="IU78" s="18"/>
    </row>
    <row r="79" spans="1:255" s="52" customFormat="1" ht="11.25" x14ac:dyDescent="0.2">
      <c r="A79" s="51"/>
      <c r="B79" s="51"/>
      <c r="C79" s="129" t="s">
        <v>394</v>
      </c>
      <c r="D79" s="129"/>
      <c r="E79" s="129"/>
      <c r="F79" s="129" t="s">
        <v>395</v>
      </c>
      <c r="G79" s="129"/>
    </row>
    <row r="80" spans="1:255" x14ac:dyDescent="0.2">
      <c r="A80" s="13"/>
      <c r="B80" s="13"/>
      <c r="C80" s="13"/>
      <c r="D80" s="9" t="s">
        <v>396</v>
      </c>
      <c r="E80" s="13"/>
      <c r="F80" s="13"/>
      <c r="G80" s="13"/>
    </row>
    <row r="81" spans="1:255" ht="22.5" x14ac:dyDescent="0.2">
      <c r="A81" s="25" t="s">
        <v>400</v>
      </c>
      <c r="B81" s="25"/>
      <c r="C81" s="50" t="s">
        <v>401</v>
      </c>
      <c r="D81" s="26"/>
      <c r="E81" s="26"/>
      <c r="F81" s="128" t="s">
        <v>402</v>
      </c>
      <c r="G81" s="128"/>
      <c r="BY81" s="27" t="str">
        <f>C81</f>
        <v>Главный инженер-сметчик СРС ООО "ОДСК-Инжиниринг"</v>
      </c>
      <c r="BZ81" s="27" t="str">
        <f>F81</f>
        <v>Кузнецова У.И.</v>
      </c>
      <c r="IU81" s="18"/>
    </row>
    <row r="82" spans="1:255" s="52" customFormat="1" ht="11.25" x14ac:dyDescent="0.2">
      <c r="A82" s="51"/>
      <c r="B82" s="51"/>
      <c r="C82" s="129" t="s">
        <v>394</v>
      </c>
      <c r="D82" s="129"/>
      <c r="E82" s="129"/>
      <c r="F82" s="129" t="s">
        <v>395</v>
      </c>
      <c r="G82" s="129"/>
    </row>
    <row r="83" spans="1:255" x14ac:dyDescent="0.2">
      <c r="A83" s="13"/>
      <c r="B83" s="13"/>
      <c r="C83" s="13"/>
      <c r="D83" s="9" t="s">
        <v>396</v>
      </c>
      <c r="E83" s="13"/>
      <c r="F83" s="13"/>
      <c r="G83" s="13"/>
    </row>
    <row r="84" spans="1:255" x14ac:dyDescent="0.2">
      <c r="A84" s="25" t="s">
        <v>372</v>
      </c>
      <c r="B84" s="25"/>
      <c r="C84" s="50" t="s">
        <v>403</v>
      </c>
      <c r="D84" s="26"/>
      <c r="E84" s="26"/>
      <c r="F84" s="128" t="s">
        <v>404</v>
      </c>
      <c r="G84" s="128"/>
      <c r="BY84" s="27" t="str">
        <f>C84</f>
        <v>Руководитель ПТС ООО "ОСУ-2"</v>
      </c>
      <c r="BZ84" s="27" t="str">
        <f>F84</f>
        <v>Когтев В.И.</v>
      </c>
      <c r="IU84" s="18"/>
    </row>
    <row r="85" spans="1:255" s="52" customFormat="1" ht="11.25" x14ac:dyDescent="0.2">
      <c r="A85" s="51"/>
      <c r="B85" s="51"/>
      <c r="C85" s="129" t="s">
        <v>394</v>
      </c>
      <c r="D85" s="129"/>
      <c r="E85" s="129"/>
      <c r="F85" s="129" t="s">
        <v>395</v>
      </c>
      <c r="G85" s="129"/>
    </row>
    <row r="86" spans="1:255" x14ac:dyDescent="0.2">
      <c r="A86" s="13"/>
      <c r="B86" s="13"/>
      <c r="C86" s="13"/>
      <c r="D86" s="9" t="s">
        <v>396</v>
      </c>
      <c r="E86" s="13"/>
      <c r="F86" s="13"/>
      <c r="G86" s="13"/>
    </row>
  </sheetData>
  <mergeCells count="30">
    <mergeCell ref="H6:K6"/>
    <mergeCell ref="A1:K1"/>
    <mergeCell ref="H2:K2"/>
    <mergeCell ref="H3:K3"/>
    <mergeCell ref="H4:K4"/>
    <mergeCell ref="H5:K5"/>
    <mergeCell ref="B20:K20"/>
    <mergeCell ref="H7:K7"/>
    <mergeCell ref="H8:K8"/>
    <mergeCell ref="C11:K11"/>
    <mergeCell ref="C12:K12"/>
    <mergeCell ref="C13:K13"/>
    <mergeCell ref="C14:K14"/>
    <mergeCell ref="A15:K15"/>
    <mergeCell ref="A16:K16"/>
    <mergeCell ref="A17:K17"/>
    <mergeCell ref="A18:K18"/>
    <mergeCell ref="B19:K19"/>
    <mergeCell ref="B21:K21"/>
    <mergeCell ref="F23:H23"/>
    <mergeCell ref="A27:K27"/>
    <mergeCell ref="F78:G78"/>
    <mergeCell ref="C79:E79"/>
    <mergeCell ref="F79:G79"/>
    <mergeCell ref="F81:G81"/>
    <mergeCell ref="C82:E82"/>
    <mergeCell ref="F82:G82"/>
    <mergeCell ref="F84:G84"/>
    <mergeCell ref="C85:E85"/>
    <mergeCell ref="F85:G85"/>
  </mergeCells>
  <pageMargins left="0.7" right="0.7" top="0.75" bottom="0.75" header="0.3" footer="0.3"/>
  <pageSetup paperSize="9" orientation="landscape" r:id="rId1"/>
  <headerFooter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7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70471770</v>
      </c>
      <c r="C1">
        <v>70470182</v>
      </c>
      <c r="D1">
        <v>49510905</v>
      </c>
      <c r="E1">
        <v>70</v>
      </c>
      <c r="F1">
        <v>1</v>
      </c>
      <c r="G1">
        <v>1</v>
      </c>
      <c r="H1">
        <v>1</v>
      </c>
      <c r="I1" t="s">
        <v>261</v>
      </c>
      <c r="J1" t="s">
        <v>6</v>
      </c>
      <c r="K1" t="s">
        <v>262</v>
      </c>
      <c r="L1">
        <v>1191</v>
      </c>
      <c r="N1">
        <v>1013</v>
      </c>
      <c r="O1" t="s">
        <v>263</v>
      </c>
      <c r="P1" t="s">
        <v>263</v>
      </c>
      <c r="Q1">
        <v>1</v>
      </c>
      <c r="X1">
        <v>45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2</v>
      </c>
      <c r="AF1" t="s">
        <v>6</v>
      </c>
      <c r="AG1">
        <v>45</v>
      </c>
      <c r="AH1">
        <v>2</v>
      </c>
      <c r="AI1">
        <v>70471770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70471771</v>
      </c>
      <c r="C2">
        <v>70470182</v>
      </c>
      <c r="D2">
        <v>49672093</v>
      </c>
      <c r="E2">
        <v>1</v>
      </c>
      <c r="F2">
        <v>1</v>
      </c>
      <c r="G2">
        <v>1</v>
      </c>
      <c r="H2">
        <v>2</v>
      </c>
      <c r="I2" t="s">
        <v>264</v>
      </c>
      <c r="J2" t="s">
        <v>265</v>
      </c>
      <c r="K2" t="s">
        <v>266</v>
      </c>
      <c r="L2">
        <v>1367</v>
      </c>
      <c r="N2">
        <v>1011</v>
      </c>
      <c r="O2" t="s">
        <v>267</v>
      </c>
      <c r="P2" t="s">
        <v>267</v>
      </c>
      <c r="Q2">
        <v>1</v>
      </c>
      <c r="X2">
        <v>45</v>
      </c>
      <c r="Y2">
        <v>0</v>
      </c>
      <c r="Z2">
        <v>70.010000000000005</v>
      </c>
      <c r="AA2">
        <v>11.6</v>
      </c>
      <c r="AB2">
        <v>0</v>
      </c>
      <c r="AC2">
        <v>0</v>
      </c>
      <c r="AD2">
        <v>1</v>
      </c>
      <c r="AE2">
        <v>0</v>
      </c>
      <c r="AF2" t="s">
        <v>6</v>
      </c>
      <c r="AG2">
        <v>45</v>
      </c>
      <c r="AH2">
        <v>2</v>
      </c>
      <c r="AI2">
        <v>70471771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ROW(Source!A25)</f>
        <v>25</v>
      </c>
      <c r="B3">
        <v>70471772</v>
      </c>
      <c r="C3">
        <v>70470187</v>
      </c>
      <c r="D3">
        <v>49510681</v>
      </c>
      <c r="E3">
        <v>70</v>
      </c>
      <c r="F3">
        <v>1</v>
      </c>
      <c r="G3">
        <v>1</v>
      </c>
      <c r="H3">
        <v>1</v>
      </c>
      <c r="I3" t="s">
        <v>268</v>
      </c>
      <c r="J3" t="s">
        <v>6</v>
      </c>
      <c r="K3" t="s">
        <v>269</v>
      </c>
      <c r="L3">
        <v>1191</v>
      </c>
      <c r="N3">
        <v>1013</v>
      </c>
      <c r="O3" t="s">
        <v>263</v>
      </c>
      <c r="P3" t="s">
        <v>263</v>
      </c>
      <c r="Q3">
        <v>1</v>
      </c>
      <c r="X3">
        <v>154</v>
      </c>
      <c r="Y3">
        <v>0</v>
      </c>
      <c r="Z3">
        <v>0</v>
      </c>
      <c r="AA3">
        <v>0</v>
      </c>
      <c r="AB3">
        <v>7.8</v>
      </c>
      <c r="AC3">
        <v>0</v>
      </c>
      <c r="AD3">
        <v>1</v>
      </c>
      <c r="AE3">
        <v>1</v>
      </c>
      <c r="AF3" t="s">
        <v>33</v>
      </c>
      <c r="AG3">
        <v>177.1</v>
      </c>
      <c r="AH3">
        <v>2</v>
      </c>
      <c r="AI3">
        <v>70471772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ROW(Source!A26)</f>
        <v>26</v>
      </c>
      <c r="B4">
        <v>70471773</v>
      </c>
      <c r="C4">
        <v>70470190</v>
      </c>
      <c r="D4">
        <v>49510657</v>
      </c>
      <c r="E4">
        <v>70</v>
      </c>
      <c r="F4">
        <v>1</v>
      </c>
      <c r="G4">
        <v>1</v>
      </c>
      <c r="H4">
        <v>1</v>
      </c>
      <c r="I4" t="s">
        <v>270</v>
      </c>
      <c r="J4" t="s">
        <v>6</v>
      </c>
      <c r="K4" t="s">
        <v>271</v>
      </c>
      <c r="L4">
        <v>1191</v>
      </c>
      <c r="N4">
        <v>1013</v>
      </c>
      <c r="O4" t="s">
        <v>263</v>
      </c>
      <c r="P4" t="s">
        <v>263</v>
      </c>
      <c r="Q4">
        <v>1</v>
      </c>
      <c r="X4">
        <v>88.5</v>
      </c>
      <c r="Y4">
        <v>0</v>
      </c>
      <c r="Z4">
        <v>0</v>
      </c>
      <c r="AA4">
        <v>0</v>
      </c>
      <c r="AB4">
        <v>7.5</v>
      </c>
      <c r="AC4">
        <v>0</v>
      </c>
      <c r="AD4">
        <v>1</v>
      </c>
      <c r="AE4">
        <v>1</v>
      </c>
      <c r="AF4" t="s">
        <v>6</v>
      </c>
      <c r="AG4">
        <v>88.5</v>
      </c>
      <c r="AH4">
        <v>2</v>
      </c>
      <c r="AI4">
        <v>70471773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ROW(Source!A28)</f>
        <v>28</v>
      </c>
      <c r="B5">
        <v>70471774</v>
      </c>
      <c r="C5">
        <v>70470194</v>
      </c>
      <c r="D5">
        <v>49510905</v>
      </c>
      <c r="E5">
        <v>70</v>
      </c>
      <c r="F5">
        <v>1</v>
      </c>
      <c r="G5">
        <v>1</v>
      </c>
      <c r="H5">
        <v>1</v>
      </c>
      <c r="I5" t="s">
        <v>261</v>
      </c>
      <c r="J5" t="s">
        <v>6</v>
      </c>
      <c r="K5" t="s">
        <v>262</v>
      </c>
      <c r="L5">
        <v>1191</v>
      </c>
      <c r="N5">
        <v>1013</v>
      </c>
      <c r="O5" t="s">
        <v>263</v>
      </c>
      <c r="P5" t="s">
        <v>263</v>
      </c>
      <c r="Q5">
        <v>1</v>
      </c>
      <c r="X5">
        <v>8.06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2</v>
      </c>
      <c r="AF5" t="s">
        <v>6</v>
      </c>
      <c r="AG5">
        <v>8.06</v>
      </c>
      <c r="AH5">
        <v>2</v>
      </c>
      <c r="AI5">
        <v>70471774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70471775</v>
      </c>
      <c r="C6">
        <v>70470194</v>
      </c>
      <c r="D6">
        <v>49672021</v>
      </c>
      <c r="E6">
        <v>1</v>
      </c>
      <c r="F6">
        <v>1</v>
      </c>
      <c r="G6">
        <v>1</v>
      </c>
      <c r="H6">
        <v>2</v>
      </c>
      <c r="I6" t="s">
        <v>272</v>
      </c>
      <c r="J6" t="s">
        <v>273</v>
      </c>
      <c r="K6" t="s">
        <v>274</v>
      </c>
      <c r="L6">
        <v>1367</v>
      </c>
      <c r="N6">
        <v>1011</v>
      </c>
      <c r="O6" t="s">
        <v>267</v>
      </c>
      <c r="P6" t="s">
        <v>267</v>
      </c>
      <c r="Q6">
        <v>1</v>
      </c>
      <c r="X6">
        <v>8.06</v>
      </c>
      <c r="Y6">
        <v>0</v>
      </c>
      <c r="Z6">
        <v>59.47</v>
      </c>
      <c r="AA6">
        <v>11.6</v>
      </c>
      <c r="AB6">
        <v>0</v>
      </c>
      <c r="AC6">
        <v>0</v>
      </c>
      <c r="AD6">
        <v>1</v>
      </c>
      <c r="AE6">
        <v>0</v>
      </c>
      <c r="AF6" t="s">
        <v>6</v>
      </c>
      <c r="AG6">
        <v>8.06</v>
      </c>
      <c r="AH6">
        <v>2</v>
      </c>
      <c r="AI6">
        <v>70471775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70470204</v>
      </c>
      <c r="C7">
        <v>70470199</v>
      </c>
      <c r="D7">
        <v>31709863</v>
      </c>
      <c r="E7">
        <v>70</v>
      </c>
      <c r="F7">
        <v>1</v>
      </c>
      <c r="G7">
        <v>1</v>
      </c>
      <c r="H7">
        <v>1</v>
      </c>
      <c r="I7" t="s">
        <v>275</v>
      </c>
      <c r="J7" t="s">
        <v>6</v>
      </c>
      <c r="K7" t="s">
        <v>276</v>
      </c>
      <c r="L7">
        <v>1191</v>
      </c>
      <c r="N7">
        <v>1013</v>
      </c>
      <c r="O7" t="s">
        <v>263</v>
      </c>
      <c r="P7" t="s">
        <v>263</v>
      </c>
      <c r="Q7">
        <v>1</v>
      </c>
      <c r="X7">
        <v>12.53</v>
      </c>
      <c r="Y7">
        <v>0</v>
      </c>
      <c r="Z7">
        <v>0</v>
      </c>
      <c r="AA7">
        <v>0</v>
      </c>
      <c r="AB7">
        <v>8.5299999999999994</v>
      </c>
      <c r="AC7">
        <v>0</v>
      </c>
      <c r="AD7">
        <v>1</v>
      </c>
      <c r="AE7">
        <v>1</v>
      </c>
      <c r="AF7" t="s">
        <v>6</v>
      </c>
      <c r="AG7">
        <v>12.53</v>
      </c>
      <c r="AH7">
        <v>2</v>
      </c>
      <c r="AI7">
        <v>70470200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70470205</v>
      </c>
      <c r="C8">
        <v>70470199</v>
      </c>
      <c r="D8">
        <v>31709492</v>
      </c>
      <c r="E8">
        <v>70</v>
      </c>
      <c r="F8">
        <v>1</v>
      </c>
      <c r="G8">
        <v>1</v>
      </c>
      <c r="H8">
        <v>1</v>
      </c>
      <c r="I8" t="s">
        <v>261</v>
      </c>
      <c r="J8" t="s">
        <v>6</v>
      </c>
      <c r="K8" t="s">
        <v>262</v>
      </c>
      <c r="L8">
        <v>1191</v>
      </c>
      <c r="N8">
        <v>1013</v>
      </c>
      <c r="O8" t="s">
        <v>263</v>
      </c>
      <c r="P8" t="s">
        <v>263</v>
      </c>
      <c r="Q8">
        <v>1</v>
      </c>
      <c r="X8">
        <v>2.62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6</v>
      </c>
      <c r="AG8">
        <v>2.62</v>
      </c>
      <c r="AH8">
        <v>2</v>
      </c>
      <c r="AI8">
        <v>70470201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70470206</v>
      </c>
      <c r="C9">
        <v>70470199</v>
      </c>
      <c r="D9">
        <v>49673046</v>
      </c>
      <c r="E9">
        <v>1</v>
      </c>
      <c r="F9">
        <v>1</v>
      </c>
      <c r="G9">
        <v>1</v>
      </c>
      <c r="H9">
        <v>2</v>
      </c>
      <c r="I9" t="s">
        <v>277</v>
      </c>
      <c r="J9" t="s">
        <v>278</v>
      </c>
      <c r="K9" t="s">
        <v>279</v>
      </c>
      <c r="L9">
        <v>1367</v>
      </c>
      <c r="N9">
        <v>1011</v>
      </c>
      <c r="O9" t="s">
        <v>267</v>
      </c>
      <c r="P9" t="s">
        <v>267</v>
      </c>
      <c r="Q9">
        <v>1</v>
      </c>
      <c r="X9">
        <v>10.5</v>
      </c>
      <c r="Y9">
        <v>0</v>
      </c>
      <c r="Z9">
        <v>0.55000000000000004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6</v>
      </c>
      <c r="AG9">
        <v>10.5</v>
      </c>
      <c r="AH9">
        <v>2</v>
      </c>
      <c r="AI9">
        <v>70470202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70470207</v>
      </c>
      <c r="C10">
        <v>70470199</v>
      </c>
      <c r="D10">
        <v>49673729</v>
      </c>
      <c r="E10">
        <v>1</v>
      </c>
      <c r="F10">
        <v>1</v>
      </c>
      <c r="G10">
        <v>1</v>
      </c>
      <c r="H10">
        <v>2</v>
      </c>
      <c r="I10" t="s">
        <v>280</v>
      </c>
      <c r="J10" t="s">
        <v>281</v>
      </c>
      <c r="K10" t="s">
        <v>282</v>
      </c>
      <c r="L10">
        <v>1367</v>
      </c>
      <c r="N10">
        <v>1011</v>
      </c>
      <c r="O10" t="s">
        <v>267</v>
      </c>
      <c r="P10" t="s">
        <v>267</v>
      </c>
      <c r="Q10">
        <v>1</v>
      </c>
      <c r="X10">
        <v>2.62</v>
      </c>
      <c r="Y10">
        <v>0</v>
      </c>
      <c r="Z10">
        <v>90</v>
      </c>
      <c r="AA10">
        <v>10.06</v>
      </c>
      <c r="AB10">
        <v>0</v>
      </c>
      <c r="AC10">
        <v>0</v>
      </c>
      <c r="AD10">
        <v>1</v>
      </c>
      <c r="AE10">
        <v>0</v>
      </c>
      <c r="AF10" t="s">
        <v>6</v>
      </c>
      <c r="AG10">
        <v>2.62</v>
      </c>
      <c r="AH10">
        <v>2</v>
      </c>
      <c r="AI10">
        <v>70470203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ROW(Source!A30)</f>
        <v>30</v>
      </c>
      <c r="B11">
        <v>70471776</v>
      </c>
      <c r="C11">
        <v>70470208</v>
      </c>
      <c r="D11">
        <v>49510749</v>
      </c>
      <c r="E11">
        <v>70</v>
      </c>
      <c r="F11">
        <v>1</v>
      </c>
      <c r="G11">
        <v>1</v>
      </c>
      <c r="H11">
        <v>1</v>
      </c>
      <c r="I11" t="s">
        <v>283</v>
      </c>
      <c r="J11" t="s">
        <v>6</v>
      </c>
      <c r="K11" t="s">
        <v>284</v>
      </c>
      <c r="L11">
        <v>1191</v>
      </c>
      <c r="N11">
        <v>1013</v>
      </c>
      <c r="O11" t="s">
        <v>263</v>
      </c>
      <c r="P11" t="s">
        <v>263</v>
      </c>
      <c r="Q11">
        <v>1</v>
      </c>
      <c r="X11">
        <v>5.21</v>
      </c>
      <c r="Y11">
        <v>0</v>
      </c>
      <c r="Z11">
        <v>0</v>
      </c>
      <c r="AA11">
        <v>0</v>
      </c>
      <c r="AB11">
        <v>9.4</v>
      </c>
      <c r="AC11">
        <v>0</v>
      </c>
      <c r="AD11">
        <v>1</v>
      </c>
      <c r="AE11">
        <v>1</v>
      </c>
      <c r="AF11" t="s">
        <v>6</v>
      </c>
      <c r="AG11">
        <v>5.21</v>
      </c>
      <c r="AH11">
        <v>2</v>
      </c>
      <c r="AI11">
        <v>70471776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ROW(Source!A30)</f>
        <v>30</v>
      </c>
      <c r="B12">
        <v>70471777</v>
      </c>
      <c r="C12">
        <v>70470208</v>
      </c>
      <c r="D12">
        <v>49510905</v>
      </c>
      <c r="E12">
        <v>70</v>
      </c>
      <c r="F12">
        <v>1</v>
      </c>
      <c r="G12">
        <v>1</v>
      </c>
      <c r="H12">
        <v>1</v>
      </c>
      <c r="I12" t="s">
        <v>261</v>
      </c>
      <c r="J12" t="s">
        <v>6</v>
      </c>
      <c r="K12" t="s">
        <v>262</v>
      </c>
      <c r="L12">
        <v>1191</v>
      </c>
      <c r="N12">
        <v>1013</v>
      </c>
      <c r="O12" t="s">
        <v>263</v>
      </c>
      <c r="P12" t="s">
        <v>263</v>
      </c>
      <c r="Q12">
        <v>1</v>
      </c>
      <c r="X12">
        <v>3.46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6</v>
      </c>
      <c r="AG12">
        <v>3.46</v>
      </c>
      <c r="AH12">
        <v>2</v>
      </c>
      <c r="AI12">
        <v>70471777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70471778</v>
      </c>
      <c r="C13">
        <v>70470208</v>
      </c>
      <c r="D13">
        <v>49672573</v>
      </c>
      <c r="E13">
        <v>1</v>
      </c>
      <c r="F13">
        <v>1</v>
      </c>
      <c r="G13">
        <v>1</v>
      </c>
      <c r="H13">
        <v>2</v>
      </c>
      <c r="I13" t="s">
        <v>285</v>
      </c>
      <c r="J13" t="s">
        <v>286</v>
      </c>
      <c r="K13" t="s">
        <v>287</v>
      </c>
      <c r="L13">
        <v>1367</v>
      </c>
      <c r="N13">
        <v>1011</v>
      </c>
      <c r="O13" t="s">
        <v>267</v>
      </c>
      <c r="P13" t="s">
        <v>267</v>
      </c>
      <c r="Q13">
        <v>1</v>
      </c>
      <c r="X13">
        <v>1.73</v>
      </c>
      <c r="Y13">
        <v>0</v>
      </c>
      <c r="Z13">
        <v>115.4</v>
      </c>
      <c r="AA13">
        <v>13.5</v>
      </c>
      <c r="AB13">
        <v>0</v>
      </c>
      <c r="AC13">
        <v>0</v>
      </c>
      <c r="AD13">
        <v>1</v>
      </c>
      <c r="AE13">
        <v>0</v>
      </c>
      <c r="AF13" t="s">
        <v>6</v>
      </c>
      <c r="AG13">
        <v>1.73</v>
      </c>
      <c r="AH13">
        <v>2</v>
      </c>
      <c r="AI13">
        <v>70471778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70471779</v>
      </c>
      <c r="C14">
        <v>70470208</v>
      </c>
      <c r="D14">
        <v>49673503</v>
      </c>
      <c r="E14">
        <v>1</v>
      </c>
      <c r="F14">
        <v>1</v>
      </c>
      <c r="G14">
        <v>1</v>
      </c>
      <c r="H14">
        <v>2</v>
      </c>
      <c r="I14" t="s">
        <v>288</v>
      </c>
      <c r="J14" t="s">
        <v>289</v>
      </c>
      <c r="K14" t="s">
        <v>290</v>
      </c>
      <c r="L14">
        <v>1367</v>
      </c>
      <c r="N14">
        <v>1011</v>
      </c>
      <c r="O14" t="s">
        <v>267</v>
      </c>
      <c r="P14" t="s">
        <v>267</v>
      </c>
      <c r="Q14">
        <v>1</v>
      </c>
      <c r="X14">
        <v>1.73</v>
      </c>
      <c r="Y14">
        <v>0</v>
      </c>
      <c r="Z14">
        <v>65.709999999999994</v>
      </c>
      <c r="AA14">
        <v>11.6</v>
      </c>
      <c r="AB14">
        <v>0</v>
      </c>
      <c r="AC14">
        <v>0</v>
      </c>
      <c r="AD14">
        <v>1</v>
      </c>
      <c r="AE14">
        <v>0</v>
      </c>
      <c r="AF14" t="s">
        <v>6</v>
      </c>
      <c r="AG14">
        <v>1.73</v>
      </c>
      <c r="AH14">
        <v>2</v>
      </c>
      <c r="AI14">
        <v>70471779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ROW(Source!A30)</f>
        <v>30</v>
      </c>
      <c r="B15">
        <v>70471780</v>
      </c>
      <c r="C15">
        <v>70470208</v>
      </c>
      <c r="D15">
        <v>49515638</v>
      </c>
      <c r="E15">
        <v>70</v>
      </c>
      <c r="F15">
        <v>1</v>
      </c>
      <c r="G15">
        <v>1</v>
      </c>
      <c r="H15">
        <v>3</v>
      </c>
      <c r="I15" t="s">
        <v>291</v>
      </c>
      <c r="J15" t="s">
        <v>6</v>
      </c>
      <c r="K15" t="s">
        <v>292</v>
      </c>
      <c r="L15">
        <v>1374</v>
      </c>
      <c r="N15">
        <v>1013</v>
      </c>
      <c r="O15" t="s">
        <v>293</v>
      </c>
      <c r="P15" t="s">
        <v>293</v>
      </c>
      <c r="Q15">
        <v>1</v>
      </c>
      <c r="X15">
        <v>0.98</v>
      </c>
      <c r="Y15">
        <v>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6</v>
      </c>
      <c r="AG15">
        <v>0.98</v>
      </c>
      <c r="AH15">
        <v>2</v>
      </c>
      <c r="AI15">
        <v>70471780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ROW(Source!A31)</f>
        <v>31</v>
      </c>
      <c r="B16">
        <v>70471781</v>
      </c>
      <c r="C16">
        <v>70470219</v>
      </c>
      <c r="D16">
        <v>49510749</v>
      </c>
      <c r="E16">
        <v>70</v>
      </c>
      <c r="F16">
        <v>1</v>
      </c>
      <c r="G16">
        <v>1</v>
      </c>
      <c r="H16">
        <v>1</v>
      </c>
      <c r="I16" t="s">
        <v>283</v>
      </c>
      <c r="J16" t="s">
        <v>6</v>
      </c>
      <c r="K16" t="s">
        <v>284</v>
      </c>
      <c r="L16">
        <v>1191</v>
      </c>
      <c r="N16">
        <v>1013</v>
      </c>
      <c r="O16" t="s">
        <v>263</v>
      </c>
      <c r="P16" t="s">
        <v>263</v>
      </c>
      <c r="Q16">
        <v>1</v>
      </c>
      <c r="X16">
        <v>2.72</v>
      </c>
      <c r="Y16">
        <v>0</v>
      </c>
      <c r="Z16">
        <v>0</v>
      </c>
      <c r="AA16">
        <v>0</v>
      </c>
      <c r="AB16">
        <v>9.4</v>
      </c>
      <c r="AC16">
        <v>0</v>
      </c>
      <c r="AD16">
        <v>1</v>
      </c>
      <c r="AE16">
        <v>1</v>
      </c>
      <c r="AF16" t="s">
        <v>6</v>
      </c>
      <c r="AG16">
        <v>2.72</v>
      </c>
      <c r="AH16">
        <v>2</v>
      </c>
      <c r="AI16">
        <v>70471781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ROW(Source!A31)</f>
        <v>31</v>
      </c>
      <c r="B17">
        <v>70471782</v>
      </c>
      <c r="C17">
        <v>70470219</v>
      </c>
      <c r="D17">
        <v>49510905</v>
      </c>
      <c r="E17">
        <v>70</v>
      </c>
      <c r="F17">
        <v>1</v>
      </c>
      <c r="G17">
        <v>1</v>
      </c>
      <c r="H17">
        <v>1</v>
      </c>
      <c r="I17" t="s">
        <v>261</v>
      </c>
      <c r="J17" t="s">
        <v>6</v>
      </c>
      <c r="K17" t="s">
        <v>262</v>
      </c>
      <c r="L17">
        <v>1191</v>
      </c>
      <c r="N17">
        <v>1013</v>
      </c>
      <c r="O17" t="s">
        <v>263</v>
      </c>
      <c r="P17" t="s">
        <v>263</v>
      </c>
      <c r="Q17">
        <v>1</v>
      </c>
      <c r="X17">
        <v>1.82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2</v>
      </c>
      <c r="AF17" t="s">
        <v>6</v>
      </c>
      <c r="AG17">
        <v>1.82</v>
      </c>
      <c r="AH17">
        <v>2</v>
      </c>
      <c r="AI17">
        <v>70471782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ROW(Source!A31)</f>
        <v>31</v>
      </c>
      <c r="B18">
        <v>70471783</v>
      </c>
      <c r="C18">
        <v>70470219</v>
      </c>
      <c r="D18">
        <v>49672573</v>
      </c>
      <c r="E18">
        <v>1</v>
      </c>
      <c r="F18">
        <v>1</v>
      </c>
      <c r="G18">
        <v>1</v>
      </c>
      <c r="H18">
        <v>2</v>
      </c>
      <c r="I18" t="s">
        <v>285</v>
      </c>
      <c r="J18" t="s">
        <v>286</v>
      </c>
      <c r="K18" t="s">
        <v>287</v>
      </c>
      <c r="L18">
        <v>1367</v>
      </c>
      <c r="N18">
        <v>1011</v>
      </c>
      <c r="O18" t="s">
        <v>267</v>
      </c>
      <c r="P18" t="s">
        <v>267</v>
      </c>
      <c r="Q18">
        <v>1</v>
      </c>
      <c r="X18">
        <v>0.91</v>
      </c>
      <c r="Y18">
        <v>0</v>
      </c>
      <c r="Z18">
        <v>115.4</v>
      </c>
      <c r="AA18">
        <v>13.5</v>
      </c>
      <c r="AB18">
        <v>0</v>
      </c>
      <c r="AC18">
        <v>0</v>
      </c>
      <c r="AD18">
        <v>1</v>
      </c>
      <c r="AE18">
        <v>0</v>
      </c>
      <c r="AF18" t="s">
        <v>6</v>
      </c>
      <c r="AG18">
        <v>0.91</v>
      </c>
      <c r="AH18">
        <v>2</v>
      </c>
      <c r="AI18">
        <v>70471783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ROW(Source!A31)</f>
        <v>31</v>
      </c>
      <c r="B19">
        <v>70471784</v>
      </c>
      <c r="C19">
        <v>70470219</v>
      </c>
      <c r="D19">
        <v>49673503</v>
      </c>
      <c r="E19">
        <v>1</v>
      </c>
      <c r="F19">
        <v>1</v>
      </c>
      <c r="G19">
        <v>1</v>
      </c>
      <c r="H19">
        <v>2</v>
      </c>
      <c r="I19" t="s">
        <v>288</v>
      </c>
      <c r="J19" t="s">
        <v>289</v>
      </c>
      <c r="K19" t="s">
        <v>290</v>
      </c>
      <c r="L19">
        <v>1367</v>
      </c>
      <c r="N19">
        <v>1011</v>
      </c>
      <c r="O19" t="s">
        <v>267</v>
      </c>
      <c r="P19" t="s">
        <v>267</v>
      </c>
      <c r="Q19">
        <v>1</v>
      </c>
      <c r="X19">
        <v>0.91</v>
      </c>
      <c r="Y19">
        <v>0</v>
      </c>
      <c r="Z19">
        <v>65.709999999999994</v>
      </c>
      <c r="AA19">
        <v>11.6</v>
      </c>
      <c r="AB19">
        <v>0</v>
      </c>
      <c r="AC19">
        <v>0</v>
      </c>
      <c r="AD19">
        <v>1</v>
      </c>
      <c r="AE19">
        <v>0</v>
      </c>
      <c r="AF19" t="s">
        <v>6</v>
      </c>
      <c r="AG19">
        <v>0.91</v>
      </c>
      <c r="AH19">
        <v>2</v>
      </c>
      <c r="AI19">
        <v>70471784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ROW(Source!A31)</f>
        <v>31</v>
      </c>
      <c r="B20">
        <v>70471785</v>
      </c>
      <c r="C20">
        <v>70470219</v>
      </c>
      <c r="D20">
        <v>49515638</v>
      </c>
      <c r="E20">
        <v>70</v>
      </c>
      <c r="F20">
        <v>1</v>
      </c>
      <c r="G20">
        <v>1</v>
      </c>
      <c r="H20">
        <v>3</v>
      </c>
      <c r="I20" t="s">
        <v>291</v>
      </c>
      <c r="J20" t="s">
        <v>6</v>
      </c>
      <c r="K20" t="s">
        <v>292</v>
      </c>
      <c r="L20">
        <v>1374</v>
      </c>
      <c r="N20">
        <v>1013</v>
      </c>
      <c r="O20" t="s">
        <v>293</v>
      </c>
      <c r="P20" t="s">
        <v>293</v>
      </c>
      <c r="Q20">
        <v>1</v>
      </c>
      <c r="X20">
        <v>0.51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6</v>
      </c>
      <c r="AG20">
        <v>0.51</v>
      </c>
      <c r="AH20">
        <v>2</v>
      </c>
      <c r="AI20">
        <v>70471785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ROW(Source!A33)</f>
        <v>33</v>
      </c>
      <c r="B21">
        <v>70471837</v>
      </c>
      <c r="C21">
        <v>70470232</v>
      </c>
      <c r="D21">
        <v>49510711</v>
      </c>
      <c r="E21">
        <v>70</v>
      </c>
      <c r="F21">
        <v>1</v>
      </c>
      <c r="G21">
        <v>1</v>
      </c>
      <c r="H21">
        <v>1</v>
      </c>
      <c r="I21" t="s">
        <v>294</v>
      </c>
      <c r="J21" t="s">
        <v>6</v>
      </c>
      <c r="K21" t="s">
        <v>295</v>
      </c>
      <c r="L21">
        <v>1191</v>
      </c>
      <c r="N21">
        <v>1013</v>
      </c>
      <c r="O21" t="s">
        <v>263</v>
      </c>
      <c r="P21" t="s">
        <v>263</v>
      </c>
      <c r="Q21">
        <v>1</v>
      </c>
      <c r="X21">
        <v>124</v>
      </c>
      <c r="Y21">
        <v>0</v>
      </c>
      <c r="Z21">
        <v>0</v>
      </c>
      <c r="AA21">
        <v>0</v>
      </c>
      <c r="AB21">
        <v>8.4600000000000009</v>
      </c>
      <c r="AC21">
        <v>0</v>
      </c>
      <c r="AD21">
        <v>1</v>
      </c>
      <c r="AE21">
        <v>1</v>
      </c>
      <c r="AF21" t="s">
        <v>6</v>
      </c>
      <c r="AG21">
        <v>124</v>
      </c>
      <c r="AH21">
        <v>2</v>
      </c>
      <c r="AI21">
        <v>70471837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ROW(Source!A33)</f>
        <v>33</v>
      </c>
      <c r="B22">
        <v>70471838</v>
      </c>
      <c r="C22">
        <v>70470232</v>
      </c>
      <c r="D22">
        <v>49521482</v>
      </c>
      <c r="E22">
        <v>1</v>
      </c>
      <c r="F22">
        <v>1</v>
      </c>
      <c r="G22">
        <v>1</v>
      </c>
      <c r="H22">
        <v>3</v>
      </c>
      <c r="I22" t="s">
        <v>296</v>
      </c>
      <c r="J22" t="s">
        <v>297</v>
      </c>
      <c r="K22" t="s">
        <v>298</v>
      </c>
      <c r="L22">
        <v>1348</v>
      </c>
      <c r="N22">
        <v>1009</v>
      </c>
      <c r="O22" t="s">
        <v>299</v>
      </c>
      <c r="P22" t="s">
        <v>299</v>
      </c>
      <c r="Q22">
        <v>1000</v>
      </c>
      <c r="X22">
        <v>8.0000000000000004E-4</v>
      </c>
      <c r="Y22">
        <v>4770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6</v>
      </c>
      <c r="AG22">
        <v>8.0000000000000004E-4</v>
      </c>
      <c r="AH22">
        <v>2</v>
      </c>
      <c r="AI22">
        <v>70471838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ROW(Source!A33)</f>
        <v>33</v>
      </c>
      <c r="B23">
        <v>70471839</v>
      </c>
      <c r="C23">
        <v>70470232</v>
      </c>
      <c r="D23">
        <v>49546654</v>
      </c>
      <c r="E23">
        <v>1</v>
      </c>
      <c r="F23">
        <v>1</v>
      </c>
      <c r="G23">
        <v>1</v>
      </c>
      <c r="H23">
        <v>3</v>
      </c>
      <c r="I23" t="s">
        <v>300</v>
      </c>
      <c r="J23" t="s">
        <v>301</v>
      </c>
      <c r="K23" t="s">
        <v>302</v>
      </c>
      <c r="L23">
        <v>1339</v>
      </c>
      <c r="N23">
        <v>1007</v>
      </c>
      <c r="O23" t="s">
        <v>45</v>
      </c>
      <c r="P23" t="s">
        <v>45</v>
      </c>
      <c r="Q23">
        <v>1</v>
      </c>
      <c r="X23">
        <v>0.08</v>
      </c>
      <c r="Y23">
        <v>802.46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6</v>
      </c>
      <c r="AG23">
        <v>0.08</v>
      </c>
      <c r="AH23">
        <v>2</v>
      </c>
      <c r="AI23">
        <v>70471839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ROW(Source!A33)</f>
        <v>33</v>
      </c>
      <c r="B24">
        <v>70471840</v>
      </c>
      <c r="C24">
        <v>70470232</v>
      </c>
      <c r="D24">
        <v>49584059</v>
      </c>
      <c r="E24">
        <v>1</v>
      </c>
      <c r="F24">
        <v>1</v>
      </c>
      <c r="G24">
        <v>1</v>
      </c>
      <c r="H24">
        <v>3</v>
      </c>
      <c r="I24" t="s">
        <v>93</v>
      </c>
      <c r="J24" t="s">
        <v>96</v>
      </c>
      <c r="K24" t="s">
        <v>94</v>
      </c>
      <c r="L24">
        <v>1301</v>
      </c>
      <c r="N24">
        <v>1003</v>
      </c>
      <c r="O24" t="s">
        <v>95</v>
      </c>
      <c r="P24" t="s">
        <v>95</v>
      </c>
      <c r="Q24">
        <v>1</v>
      </c>
      <c r="X24">
        <v>1000</v>
      </c>
      <c r="Y24">
        <v>63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6</v>
      </c>
      <c r="AG24">
        <v>1000</v>
      </c>
      <c r="AH24">
        <v>2</v>
      </c>
      <c r="AI24">
        <v>70471840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ROW(Source!A36)</f>
        <v>36</v>
      </c>
      <c r="B25">
        <v>70471786</v>
      </c>
      <c r="C25">
        <v>70470244</v>
      </c>
      <c r="D25">
        <v>49510749</v>
      </c>
      <c r="E25">
        <v>70</v>
      </c>
      <c r="F25">
        <v>1</v>
      </c>
      <c r="G25">
        <v>1</v>
      </c>
      <c r="H25">
        <v>1</v>
      </c>
      <c r="I25" t="s">
        <v>283</v>
      </c>
      <c r="J25" t="s">
        <v>6</v>
      </c>
      <c r="K25" t="s">
        <v>284</v>
      </c>
      <c r="L25">
        <v>1191</v>
      </c>
      <c r="N25">
        <v>1013</v>
      </c>
      <c r="O25" t="s">
        <v>263</v>
      </c>
      <c r="P25" t="s">
        <v>263</v>
      </c>
      <c r="Q25">
        <v>1</v>
      </c>
      <c r="X25">
        <v>23.04</v>
      </c>
      <c r="Y25">
        <v>0</v>
      </c>
      <c r="Z25">
        <v>0</v>
      </c>
      <c r="AA25">
        <v>0</v>
      </c>
      <c r="AB25">
        <v>9.4</v>
      </c>
      <c r="AC25">
        <v>0</v>
      </c>
      <c r="AD25">
        <v>1</v>
      </c>
      <c r="AE25">
        <v>1</v>
      </c>
      <c r="AF25" t="s">
        <v>6</v>
      </c>
      <c r="AG25">
        <v>23.04</v>
      </c>
      <c r="AH25">
        <v>2</v>
      </c>
      <c r="AI25">
        <v>70471786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ROW(Source!A36)</f>
        <v>36</v>
      </c>
      <c r="B26">
        <v>70471787</v>
      </c>
      <c r="C26">
        <v>70470244</v>
      </c>
      <c r="D26">
        <v>49510905</v>
      </c>
      <c r="E26">
        <v>70</v>
      </c>
      <c r="F26">
        <v>1</v>
      </c>
      <c r="G26">
        <v>1</v>
      </c>
      <c r="H26">
        <v>1</v>
      </c>
      <c r="I26" t="s">
        <v>261</v>
      </c>
      <c r="J26" t="s">
        <v>6</v>
      </c>
      <c r="K26" t="s">
        <v>262</v>
      </c>
      <c r="L26">
        <v>1191</v>
      </c>
      <c r="N26">
        <v>1013</v>
      </c>
      <c r="O26" t="s">
        <v>263</v>
      </c>
      <c r="P26" t="s">
        <v>263</v>
      </c>
      <c r="Q26">
        <v>1</v>
      </c>
      <c r="X26">
        <v>0.4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2</v>
      </c>
      <c r="AF26" t="s">
        <v>6</v>
      </c>
      <c r="AG26">
        <v>0.4</v>
      </c>
      <c r="AH26">
        <v>2</v>
      </c>
      <c r="AI26">
        <v>70471787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70471788</v>
      </c>
      <c r="C27">
        <v>70470244</v>
      </c>
      <c r="D27">
        <v>49672573</v>
      </c>
      <c r="E27">
        <v>1</v>
      </c>
      <c r="F27">
        <v>1</v>
      </c>
      <c r="G27">
        <v>1</v>
      </c>
      <c r="H27">
        <v>2</v>
      </c>
      <c r="I27" t="s">
        <v>285</v>
      </c>
      <c r="J27" t="s">
        <v>286</v>
      </c>
      <c r="K27" t="s">
        <v>287</v>
      </c>
      <c r="L27">
        <v>1367</v>
      </c>
      <c r="N27">
        <v>1011</v>
      </c>
      <c r="O27" t="s">
        <v>267</v>
      </c>
      <c r="P27" t="s">
        <v>267</v>
      </c>
      <c r="Q27">
        <v>1</v>
      </c>
      <c r="X27">
        <v>0.2</v>
      </c>
      <c r="Y27">
        <v>0</v>
      </c>
      <c r="Z27">
        <v>115.4</v>
      </c>
      <c r="AA27">
        <v>13.5</v>
      </c>
      <c r="AB27">
        <v>0</v>
      </c>
      <c r="AC27">
        <v>0</v>
      </c>
      <c r="AD27">
        <v>1</v>
      </c>
      <c r="AE27">
        <v>0</v>
      </c>
      <c r="AF27" t="s">
        <v>6</v>
      </c>
      <c r="AG27">
        <v>0.2</v>
      </c>
      <c r="AH27">
        <v>2</v>
      </c>
      <c r="AI27">
        <v>70471788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70471789</v>
      </c>
      <c r="C28">
        <v>70470244</v>
      </c>
      <c r="D28">
        <v>49672654</v>
      </c>
      <c r="E28">
        <v>1</v>
      </c>
      <c r="F28">
        <v>1</v>
      </c>
      <c r="G28">
        <v>1</v>
      </c>
      <c r="H28">
        <v>2</v>
      </c>
      <c r="I28" t="s">
        <v>303</v>
      </c>
      <c r="J28" t="s">
        <v>304</v>
      </c>
      <c r="K28" t="s">
        <v>305</v>
      </c>
      <c r="L28">
        <v>1367</v>
      </c>
      <c r="N28">
        <v>1011</v>
      </c>
      <c r="O28" t="s">
        <v>267</v>
      </c>
      <c r="P28" t="s">
        <v>267</v>
      </c>
      <c r="Q28">
        <v>1</v>
      </c>
      <c r="X28">
        <v>5.14</v>
      </c>
      <c r="Y28">
        <v>0</v>
      </c>
      <c r="Z28">
        <v>0.9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6</v>
      </c>
      <c r="AG28">
        <v>5.14</v>
      </c>
      <c r="AH28">
        <v>2</v>
      </c>
      <c r="AI28">
        <v>70471789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70471790</v>
      </c>
      <c r="C29">
        <v>70470244</v>
      </c>
      <c r="D29">
        <v>49672710</v>
      </c>
      <c r="E29">
        <v>1</v>
      </c>
      <c r="F29">
        <v>1</v>
      </c>
      <c r="G29">
        <v>1</v>
      </c>
      <c r="H29">
        <v>2</v>
      </c>
      <c r="I29" t="s">
        <v>306</v>
      </c>
      <c r="J29" t="s">
        <v>307</v>
      </c>
      <c r="K29" t="s">
        <v>308</v>
      </c>
      <c r="L29">
        <v>1367</v>
      </c>
      <c r="N29">
        <v>1011</v>
      </c>
      <c r="O29" t="s">
        <v>267</v>
      </c>
      <c r="P29" t="s">
        <v>267</v>
      </c>
      <c r="Q29">
        <v>1</v>
      </c>
      <c r="X29">
        <v>5.14</v>
      </c>
      <c r="Y29">
        <v>0</v>
      </c>
      <c r="Z29">
        <v>6.9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6</v>
      </c>
      <c r="AG29">
        <v>5.14</v>
      </c>
      <c r="AH29">
        <v>2</v>
      </c>
      <c r="AI29">
        <v>70471790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70471791</v>
      </c>
      <c r="C30">
        <v>70470244</v>
      </c>
      <c r="D30">
        <v>49673503</v>
      </c>
      <c r="E30">
        <v>1</v>
      </c>
      <c r="F30">
        <v>1</v>
      </c>
      <c r="G30">
        <v>1</v>
      </c>
      <c r="H30">
        <v>2</v>
      </c>
      <c r="I30" t="s">
        <v>288</v>
      </c>
      <c r="J30" t="s">
        <v>289</v>
      </c>
      <c r="K30" t="s">
        <v>290</v>
      </c>
      <c r="L30">
        <v>1367</v>
      </c>
      <c r="N30">
        <v>1011</v>
      </c>
      <c r="O30" t="s">
        <v>267</v>
      </c>
      <c r="P30" t="s">
        <v>267</v>
      </c>
      <c r="Q30">
        <v>1</v>
      </c>
      <c r="X30">
        <v>0.2</v>
      </c>
      <c r="Y30">
        <v>0</v>
      </c>
      <c r="Z30">
        <v>65.709999999999994</v>
      </c>
      <c r="AA30">
        <v>11.6</v>
      </c>
      <c r="AB30">
        <v>0</v>
      </c>
      <c r="AC30">
        <v>0</v>
      </c>
      <c r="AD30">
        <v>1</v>
      </c>
      <c r="AE30">
        <v>0</v>
      </c>
      <c r="AF30" t="s">
        <v>6</v>
      </c>
      <c r="AG30">
        <v>0.2</v>
      </c>
      <c r="AH30">
        <v>2</v>
      </c>
      <c r="AI30">
        <v>70471791</v>
      </c>
      <c r="AJ30">
        <v>31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70471792</v>
      </c>
      <c r="C31">
        <v>70470244</v>
      </c>
      <c r="D31">
        <v>49523499</v>
      </c>
      <c r="E31">
        <v>1</v>
      </c>
      <c r="F31">
        <v>1</v>
      </c>
      <c r="G31">
        <v>1</v>
      </c>
      <c r="H31">
        <v>3</v>
      </c>
      <c r="I31" t="s">
        <v>309</v>
      </c>
      <c r="J31" t="s">
        <v>310</v>
      </c>
      <c r="K31" t="s">
        <v>311</v>
      </c>
      <c r="L31">
        <v>1302</v>
      </c>
      <c r="N31">
        <v>1003</v>
      </c>
      <c r="O31" t="s">
        <v>312</v>
      </c>
      <c r="P31" t="s">
        <v>312</v>
      </c>
      <c r="Q31">
        <v>10</v>
      </c>
      <c r="X31">
        <v>9.6000000000000002E-2</v>
      </c>
      <c r="Y31">
        <v>6.9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6</v>
      </c>
      <c r="AG31">
        <v>9.6000000000000002E-2</v>
      </c>
      <c r="AH31">
        <v>2</v>
      </c>
      <c r="AI31">
        <v>70471792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ROW(Source!A36)</f>
        <v>36</v>
      </c>
      <c r="B32">
        <v>70471793</v>
      </c>
      <c r="C32">
        <v>70470244</v>
      </c>
      <c r="D32">
        <v>49545859</v>
      </c>
      <c r="E32">
        <v>1</v>
      </c>
      <c r="F32">
        <v>1</v>
      </c>
      <c r="G32">
        <v>1</v>
      </c>
      <c r="H32">
        <v>3</v>
      </c>
      <c r="I32" t="s">
        <v>313</v>
      </c>
      <c r="J32" t="s">
        <v>314</v>
      </c>
      <c r="K32" t="s">
        <v>315</v>
      </c>
      <c r="L32">
        <v>1348</v>
      </c>
      <c r="N32">
        <v>1009</v>
      </c>
      <c r="O32" t="s">
        <v>299</v>
      </c>
      <c r="P32" t="s">
        <v>299</v>
      </c>
      <c r="Q32">
        <v>1000</v>
      </c>
      <c r="X32">
        <v>5.0000000000000001E-4</v>
      </c>
      <c r="Y32">
        <v>68050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6</v>
      </c>
      <c r="AG32">
        <v>5.0000000000000001E-4</v>
      </c>
      <c r="AH32">
        <v>2</v>
      </c>
      <c r="AI32">
        <v>70471793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ROW(Source!A36)</f>
        <v>36</v>
      </c>
      <c r="B33">
        <v>70471794</v>
      </c>
      <c r="C33">
        <v>70470244</v>
      </c>
      <c r="D33">
        <v>49554619</v>
      </c>
      <c r="E33">
        <v>1</v>
      </c>
      <c r="F33">
        <v>1</v>
      </c>
      <c r="G33">
        <v>1</v>
      </c>
      <c r="H33">
        <v>3</v>
      </c>
      <c r="I33" t="s">
        <v>316</v>
      </c>
      <c r="J33" t="s">
        <v>317</v>
      </c>
      <c r="K33" t="s">
        <v>318</v>
      </c>
      <c r="L33">
        <v>1348</v>
      </c>
      <c r="N33">
        <v>1009</v>
      </c>
      <c r="O33" t="s">
        <v>299</v>
      </c>
      <c r="P33" t="s">
        <v>299</v>
      </c>
      <c r="Q33">
        <v>1000</v>
      </c>
      <c r="X33">
        <v>6.0000000000000002E-5</v>
      </c>
      <c r="Y33">
        <v>7826.9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6</v>
      </c>
      <c r="AG33">
        <v>6.0000000000000002E-5</v>
      </c>
      <c r="AH33">
        <v>2</v>
      </c>
      <c r="AI33">
        <v>70471794</v>
      </c>
      <c r="AJ33">
        <v>34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ROW(Source!A36)</f>
        <v>36</v>
      </c>
      <c r="B34">
        <v>70471795</v>
      </c>
      <c r="C34">
        <v>70470244</v>
      </c>
      <c r="D34">
        <v>49515638</v>
      </c>
      <c r="E34">
        <v>70</v>
      </c>
      <c r="F34">
        <v>1</v>
      </c>
      <c r="G34">
        <v>1</v>
      </c>
      <c r="H34">
        <v>3</v>
      </c>
      <c r="I34" t="s">
        <v>291</v>
      </c>
      <c r="J34" t="s">
        <v>6</v>
      </c>
      <c r="K34" t="s">
        <v>292</v>
      </c>
      <c r="L34">
        <v>1374</v>
      </c>
      <c r="N34">
        <v>1013</v>
      </c>
      <c r="O34" t="s">
        <v>293</v>
      </c>
      <c r="P34" t="s">
        <v>293</v>
      </c>
      <c r="Q34">
        <v>1</v>
      </c>
      <c r="X34">
        <v>4.33</v>
      </c>
      <c r="Y34">
        <v>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6</v>
      </c>
      <c r="AG34">
        <v>4.33</v>
      </c>
      <c r="AH34">
        <v>2</v>
      </c>
      <c r="AI34">
        <v>70471795</v>
      </c>
      <c r="AJ34">
        <v>35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70471797</v>
      </c>
      <c r="C35">
        <v>70470265</v>
      </c>
      <c r="D35">
        <v>49510749</v>
      </c>
      <c r="E35">
        <v>70</v>
      </c>
      <c r="F35">
        <v>1</v>
      </c>
      <c r="G35">
        <v>1</v>
      </c>
      <c r="H35">
        <v>1</v>
      </c>
      <c r="I35" t="s">
        <v>283</v>
      </c>
      <c r="J35" t="s">
        <v>6</v>
      </c>
      <c r="K35" t="s">
        <v>284</v>
      </c>
      <c r="L35">
        <v>1191</v>
      </c>
      <c r="N35">
        <v>1013</v>
      </c>
      <c r="O35" t="s">
        <v>263</v>
      </c>
      <c r="P35" t="s">
        <v>263</v>
      </c>
      <c r="Q35">
        <v>1</v>
      </c>
      <c r="X35">
        <v>29.44</v>
      </c>
      <c r="Y35">
        <v>0</v>
      </c>
      <c r="Z35">
        <v>0</v>
      </c>
      <c r="AA35">
        <v>0</v>
      </c>
      <c r="AB35">
        <v>9.4</v>
      </c>
      <c r="AC35">
        <v>0</v>
      </c>
      <c r="AD35">
        <v>1</v>
      </c>
      <c r="AE35">
        <v>1</v>
      </c>
      <c r="AF35" t="s">
        <v>6</v>
      </c>
      <c r="AG35">
        <v>29.44</v>
      </c>
      <c r="AH35">
        <v>2</v>
      </c>
      <c r="AI35">
        <v>70471797</v>
      </c>
      <c r="AJ35">
        <v>36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70471798</v>
      </c>
      <c r="C36">
        <v>70470265</v>
      </c>
      <c r="D36">
        <v>49510905</v>
      </c>
      <c r="E36">
        <v>70</v>
      </c>
      <c r="F36">
        <v>1</v>
      </c>
      <c r="G36">
        <v>1</v>
      </c>
      <c r="H36">
        <v>1</v>
      </c>
      <c r="I36" t="s">
        <v>261</v>
      </c>
      <c r="J36" t="s">
        <v>6</v>
      </c>
      <c r="K36" t="s">
        <v>262</v>
      </c>
      <c r="L36">
        <v>1191</v>
      </c>
      <c r="N36">
        <v>1013</v>
      </c>
      <c r="O36" t="s">
        <v>263</v>
      </c>
      <c r="P36" t="s">
        <v>263</v>
      </c>
      <c r="Q36">
        <v>1</v>
      </c>
      <c r="X36">
        <v>0.4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2</v>
      </c>
      <c r="AF36" t="s">
        <v>6</v>
      </c>
      <c r="AG36">
        <v>0.4</v>
      </c>
      <c r="AH36">
        <v>2</v>
      </c>
      <c r="AI36">
        <v>70471798</v>
      </c>
      <c r="AJ36">
        <v>37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ROW(Source!A37)</f>
        <v>37</v>
      </c>
      <c r="B37">
        <v>70471799</v>
      </c>
      <c r="C37">
        <v>70470265</v>
      </c>
      <c r="D37">
        <v>49672573</v>
      </c>
      <c r="E37">
        <v>1</v>
      </c>
      <c r="F37">
        <v>1</v>
      </c>
      <c r="G37">
        <v>1</v>
      </c>
      <c r="H37">
        <v>2</v>
      </c>
      <c r="I37" t="s">
        <v>285</v>
      </c>
      <c r="J37" t="s">
        <v>286</v>
      </c>
      <c r="K37" t="s">
        <v>287</v>
      </c>
      <c r="L37">
        <v>1367</v>
      </c>
      <c r="N37">
        <v>1011</v>
      </c>
      <c r="O37" t="s">
        <v>267</v>
      </c>
      <c r="P37" t="s">
        <v>267</v>
      </c>
      <c r="Q37">
        <v>1</v>
      </c>
      <c r="X37">
        <v>0.2</v>
      </c>
      <c r="Y37">
        <v>0</v>
      </c>
      <c r="Z37">
        <v>115.4</v>
      </c>
      <c r="AA37">
        <v>13.5</v>
      </c>
      <c r="AB37">
        <v>0</v>
      </c>
      <c r="AC37">
        <v>0</v>
      </c>
      <c r="AD37">
        <v>1</v>
      </c>
      <c r="AE37">
        <v>0</v>
      </c>
      <c r="AF37" t="s">
        <v>6</v>
      </c>
      <c r="AG37">
        <v>0.2</v>
      </c>
      <c r="AH37">
        <v>2</v>
      </c>
      <c r="AI37">
        <v>70471799</v>
      </c>
      <c r="AJ37">
        <v>38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ROW(Source!A37)</f>
        <v>37</v>
      </c>
      <c r="B38">
        <v>70471800</v>
      </c>
      <c r="C38">
        <v>70470265</v>
      </c>
      <c r="D38">
        <v>49672654</v>
      </c>
      <c r="E38">
        <v>1</v>
      </c>
      <c r="F38">
        <v>1</v>
      </c>
      <c r="G38">
        <v>1</v>
      </c>
      <c r="H38">
        <v>2</v>
      </c>
      <c r="I38" t="s">
        <v>303</v>
      </c>
      <c r="J38" t="s">
        <v>304</v>
      </c>
      <c r="K38" t="s">
        <v>305</v>
      </c>
      <c r="L38">
        <v>1367</v>
      </c>
      <c r="N38">
        <v>1011</v>
      </c>
      <c r="O38" t="s">
        <v>267</v>
      </c>
      <c r="P38" t="s">
        <v>267</v>
      </c>
      <c r="Q38">
        <v>1</v>
      </c>
      <c r="X38">
        <v>6.62</v>
      </c>
      <c r="Y38">
        <v>0</v>
      </c>
      <c r="Z38">
        <v>0.9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6</v>
      </c>
      <c r="AG38">
        <v>6.62</v>
      </c>
      <c r="AH38">
        <v>2</v>
      </c>
      <c r="AI38">
        <v>70471800</v>
      </c>
      <c r="AJ38">
        <v>39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ROW(Source!A37)</f>
        <v>37</v>
      </c>
      <c r="B39">
        <v>70471801</v>
      </c>
      <c r="C39">
        <v>70470265</v>
      </c>
      <c r="D39">
        <v>49672710</v>
      </c>
      <c r="E39">
        <v>1</v>
      </c>
      <c r="F39">
        <v>1</v>
      </c>
      <c r="G39">
        <v>1</v>
      </c>
      <c r="H39">
        <v>2</v>
      </c>
      <c r="I39" t="s">
        <v>306</v>
      </c>
      <c r="J39" t="s">
        <v>307</v>
      </c>
      <c r="K39" t="s">
        <v>308</v>
      </c>
      <c r="L39">
        <v>1367</v>
      </c>
      <c r="N39">
        <v>1011</v>
      </c>
      <c r="O39" t="s">
        <v>267</v>
      </c>
      <c r="P39" t="s">
        <v>267</v>
      </c>
      <c r="Q39">
        <v>1</v>
      </c>
      <c r="X39">
        <v>6.62</v>
      </c>
      <c r="Y39">
        <v>0</v>
      </c>
      <c r="Z39">
        <v>6.9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6</v>
      </c>
      <c r="AG39">
        <v>6.62</v>
      </c>
      <c r="AH39">
        <v>2</v>
      </c>
      <c r="AI39">
        <v>70471801</v>
      </c>
      <c r="AJ39">
        <v>40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ROW(Source!A37)</f>
        <v>37</v>
      </c>
      <c r="B40">
        <v>70471802</v>
      </c>
      <c r="C40">
        <v>70470265</v>
      </c>
      <c r="D40">
        <v>49673503</v>
      </c>
      <c r="E40">
        <v>1</v>
      </c>
      <c r="F40">
        <v>1</v>
      </c>
      <c r="G40">
        <v>1</v>
      </c>
      <c r="H40">
        <v>2</v>
      </c>
      <c r="I40" t="s">
        <v>288</v>
      </c>
      <c r="J40" t="s">
        <v>289</v>
      </c>
      <c r="K40" t="s">
        <v>290</v>
      </c>
      <c r="L40">
        <v>1367</v>
      </c>
      <c r="N40">
        <v>1011</v>
      </c>
      <c r="O40" t="s">
        <v>267</v>
      </c>
      <c r="P40" t="s">
        <v>267</v>
      </c>
      <c r="Q40">
        <v>1</v>
      </c>
      <c r="X40">
        <v>0.2</v>
      </c>
      <c r="Y40">
        <v>0</v>
      </c>
      <c r="Z40">
        <v>65.709999999999994</v>
      </c>
      <c r="AA40">
        <v>11.6</v>
      </c>
      <c r="AB40">
        <v>0</v>
      </c>
      <c r="AC40">
        <v>0</v>
      </c>
      <c r="AD40">
        <v>1</v>
      </c>
      <c r="AE40">
        <v>0</v>
      </c>
      <c r="AF40" t="s">
        <v>6</v>
      </c>
      <c r="AG40">
        <v>0.2</v>
      </c>
      <c r="AH40">
        <v>2</v>
      </c>
      <c r="AI40">
        <v>70471802</v>
      </c>
      <c r="AJ40">
        <v>41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ROW(Source!A37)</f>
        <v>37</v>
      </c>
      <c r="B41">
        <v>70471803</v>
      </c>
      <c r="C41">
        <v>70470265</v>
      </c>
      <c r="D41">
        <v>49523499</v>
      </c>
      <c r="E41">
        <v>1</v>
      </c>
      <c r="F41">
        <v>1</v>
      </c>
      <c r="G41">
        <v>1</v>
      </c>
      <c r="H41">
        <v>3</v>
      </c>
      <c r="I41" t="s">
        <v>309</v>
      </c>
      <c r="J41" t="s">
        <v>310</v>
      </c>
      <c r="K41" t="s">
        <v>311</v>
      </c>
      <c r="L41">
        <v>1302</v>
      </c>
      <c r="N41">
        <v>1003</v>
      </c>
      <c r="O41" t="s">
        <v>312</v>
      </c>
      <c r="P41" t="s">
        <v>312</v>
      </c>
      <c r="Q41">
        <v>10</v>
      </c>
      <c r="X41">
        <v>9.6000000000000002E-2</v>
      </c>
      <c r="Y41">
        <v>6.9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6</v>
      </c>
      <c r="AG41">
        <v>9.6000000000000002E-2</v>
      </c>
      <c r="AH41">
        <v>2</v>
      </c>
      <c r="AI41">
        <v>70471803</v>
      </c>
      <c r="AJ41">
        <v>42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ROW(Source!A37)</f>
        <v>37</v>
      </c>
      <c r="B42">
        <v>70471804</v>
      </c>
      <c r="C42">
        <v>70470265</v>
      </c>
      <c r="D42">
        <v>49545859</v>
      </c>
      <c r="E42">
        <v>1</v>
      </c>
      <c r="F42">
        <v>1</v>
      </c>
      <c r="G42">
        <v>1</v>
      </c>
      <c r="H42">
        <v>3</v>
      </c>
      <c r="I42" t="s">
        <v>313</v>
      </c>
      <c r="J42" t="s">
        <v>314</v>
      </c>
      <c r="K42" t="s">
        <v>315</v>
      </c>
      <c r="L42">
        <v>1348</v>
      </c>
      <c r="N42">
        <v>1009</v>
      </c>
      <c r="O42" t="s">
        <v>299</v>
      </c>
      <c r="P42" t="s">
        <v>299</v>
      </c>
      <c r="Q42">
        <v>1000</v>
      </c>
      <c r="X42">
        <v>5.0000000000000001E-4</v>
      </c>
      <c r="Y42">
        <v>68050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6</v>
      </c>
      <c r="AG42">
        <v>5.0000000000000001E-4</v>
      </c>
      <c r="AH42">
        <v>2</v>
      </c>
      <c r="AI42">
        <v>70471804</v>
      </c>
      <c r="AJ42">
        <v>43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ROW(Source!A37)</f>
        <v>37</v>
      </c>
      <c r="B43">
        <v>70471805</v>
      </c>
      <c r="C43">
        <v>70470265</v>
      </c>
      <c r="D43">
        <v>49554619</v>
      </c>
      <c r="E43">
        <v>1</v>
      </c>
      <c r="F43">
        <v>1</v>
      </c>
      <c r="G43">
        <v>1</v>
      </c>
      <c r="H43">
        <v>3</v>
      </c>
      <c r="I43" t="s">
        <v>316</v>
      </c>
      <c r="J43" t="s">
        <v>317</v>
      </c>
      <c r="K43" t="s">
        <v>318</v>
      </c>
      <c r="L43">
        <v>1348</v>
      </c>
      <c r="N43">
        <v>1009</v>
      </c>
      <c r="O43" t="s">
        <v>299</v>
      </c>
      <c r="P43" t="s">
        <v>299</v>
      </c>
      <c r="Q43">
        <v>1000</v>
      </c>
      <c r="X43">
        <v>6.0000000000000002E-5</v>
      </c>
      <c r="Y43">
        <v>7826.9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6</v>
      </c>
      <c r="AG43">
        <v>6.0000000000000002E-5</v>
      </c>
      <c r="AH43">
        <v>2</v>
      </c>
      <c r="AI43">
        <v>70471805</v>
      </c>
      <c r="AJ43">
        <v>44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ROW(Source!A37)</f>
        <v>37</v>
      </c>
      <c r="B44">
        <v>70471806</v>
      </c>
      <c r="C44">
        <v>70470265</v>
      </c>
      <c r="D44">
        <v>49515638</v>
      </c>
      <c r="E44">
        <v>70</v>
      </c>
      <c r="F44">
        <v>1</v>
      </c>
      <c r="G44">
        <v>1</v>
      </c>
      <c r="H44">
        <v>3</v>
      </c>
      <c r="I44" t="s">
        <v>291</v>
      </c>
      <c r="J44" t="s">
        <v>6</v>
      </c>
      <c r="K44" t="s">
        <v>292</v>
      </c>
      <c r="L44">
        <v>1374</v>
      </c>
      <c r="N44">
        <v>1013</v>
      </c>
      <c r="O44" t="s">
        <v>293</v>
      </c>
      <c r="P44" t="s">
        <v>293</v>
      </c>
      <c r="Q44">
        <v>1</v>
      </c>
      <c r="X44">
        <v>5.53</v>
      </c>
      <c r="Y44">
        <v>1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6</v>
      </c>
      <c r="AG44">
        <v>5.53</v>
      </c>
      <c r="AH44">
        <v>2</v>
      </c>
      <c r="AI44">
        <v>70471806</v>
      </c>
      <c r="AJ44">
        <v>45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ROW(Source!A38)</f>
        <v>38</v>
      </c>
      <c r="B45">
        <v>70471820</v>
      </c>
      <c r="C45">
        <v>70471807</v>
      </c>
      <c r="D45">
        <v>31709494</v>
      </c>
      <c r="E45">
        <v>70</v>
      </c>
      <c r="F45">
        <v>1</v>
      </c>
      <c r="G45">
        <v>1</v>
      </c>
      <c r="H45">
        <v>1</v>
      </c>
      <c r="I45" t="s">
        <v>283</v>
      </c>
      <c r="J45" t="s">
        <v>6</v>
      </c>
      <c r="K45" t="s">
        <v>284</v>
      </c>
      <c r="L45">
        <v>1191</v>
      </c>
      <c r="N45">
        <v>1013</v>
      </c>
      <c r="O45" t="s">
        <v>263</v>
      </c>
      <c r="P45" t="s">
        <v>263</v>
      </c>
      <c r="Q45">
        <v>1</v>
      </c>
      <c r="X45">
        <v>17.440000000000001</v>
      </c>
      <c r="Y45">
        <v>0</v>
      </c>
      <c r="Z45">
        <v>0</v>
      </c>
      <c r="AA45">
        <v>0</v>
      </c>
      <c r="AB45">
        <v>9.4</v>
      </c>
      <c r="AC45">
        <v>0</v>
      </c>
      <c r="AD45">
        <v>1</v>
      </c>
      <c r="AE45">
        <v>1</v>
      </c>
      <c r="AF45" t="s">
        <v>6</v>
      </c>
      <c r="AG45">
        <v>17.440000000000001</v>
      </c>
      <c r="AH45">
        <v>2</v>
      </c>
      <c r="AI45">
        <v>70471808</v>
      </c>
      <c r="AJ45">
        <v>46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ROW(Source!A38)</f>
        <v>38</v>
      </c>
      <c r="B46">
        <v>70471821</v>
      </c>
      <c r="C46">
        <v>70471807</v>
      </c>
      <c r="D46">
        <v>31709492</v>
      </c>
      <c r="E46">
        <v>70</v>
      </c>
      <c r="F46">
        <v>1</v>
      </c>
      <c r="G46">
        <v>1</v>
      </c>
      <c r="H46">
        <v>1</v>
      </c>
      <c r="I46" t="s">
        <v>261</v>
      </c>
      <c r="J46" t="s">
        <v>6</v>
      </c>
      <c r="K46" t="s">
        <v>262</v>
      </c>
      <c r="L46">
        <v>1191</v>
      </c>
      <c r="N46">
        <v>1013</v>
      </c>
      <c r="O46" t="s">
        <v>263</v>
      </c>
      <c r="P46" t="s">
        <v>263</v>
      </c>
      <c r="Q46">
        <v>1</v>
      </c>
      <c r="X46">
        <v>2.64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6</v>
      </c>
      <c r="AG46">
        <v>2.64</v>
      </c>
      <c r="AH46">
        <v>2</v>
      </c>
      <c r="AI46">
        <v>70471809</v>
      </c>
      <c r="AJ46">
        <v>47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ROW(Source!A38)</f>
        <v>38</v>
      </c>
      <c r="B47">
        <v>70471822</v>
      </c>
      <c r="C47">
        <v>70471807</v>
      </c>
      <c r="D47">
        <v>49672573</v>
      </c>
      <c r="E47">
        <v>1</v>
      </c>
      <c r="F47">
        <v>1</v>
      </c>
      <c r="G47">
        <v>1</v>
      </c>
      <c r="H47">
        <v>2</v>
      </c>
      <c r="I47" t="s">
        <v>285</v>
      </c>
      <c r="J47" t="s">
        <v>286</v>
      </c>
      <c r="K47" t="s">
        <v>287</v>
      </c>
      <c r="L47">
        <v>1367</v>
      </c>
      <c r="N47">
        <v>1011</v>
      </c>
      <c r="O47" t="s">
        <v>267</v>
      </c>
      <c r="P47" t="s">
        <v>267</v>
      </c>
      <c r="Q47">
        <v>1</v>
      </c>
      <c r="X47">
        <v>1.32</v>
      </c>
      <c r="Y47">
        <v>0</v>
      </c>
      <c r="Z47">
        <v>115.4</v>
      </c>
      <c r="AA47">
        <v>13.5</v>
      </c>
      <c r="AB47">
        <v>0</v>
      </c>
      <c r="AC47">
        <v>0</v>
      </c>
      <c r="AD47">
        <v>1</v>
      </c>
      <c r="AE47">
        <v>0</v>
      </c>
      <c r="AF47" t="s">
        <v>6</v>
      </c>
      <c r="AG47">
        <v>1.32</v>
      </c>
      <c r="AH47">
        <v>2</v>
      </c>
      <c r="AI47">
        <v>70471810</v>
      </c>
      <c r="AJ47">
        <v>48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ROW(Source!A38)</f>
        <v>38</v>
      </c>
      <c r="B48">
        <v>70471823</v>
      </c>
      <c r="C48">
        <v>70471807</v>
      </c>
      <c r="D48">
        <v>49672654</v>
      </c>
      <c r="E48">
        <v>1</v>
      </c>
      <c r="F48">
        <v>1</v>
      </c>
      <c r="G48">
        <v>1</v>
      </c>
      <c r="H48">
        <v>2</v>
      </c>
      <c r="I48" t="s">
        <v>303</v>
      </c>
      <c r="J48" t="s">
        <v>304</v>
      </c>
      <c r="K48" t="s">
        <v>305</v>
      </c>
      <c r="L48">
        <v>1367</v>
      </c>
      <c r="N48">
        <v>1011</v>
      </c>
      <c r="O48" t="s">
        <v>267</v>
      </c>
      <c r="P48" t="s">
        <v>267</v>
      </c>
      <c r="Q48">
        <v>1</v>
      </c>
      <c r="X48">
        <v>3.97</v>
      </c>
      <c r="Y48">
        <v>0</v>
      </c>
      <c r="Z48">
        <v>0.9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6</v>
      </c>
      <c r="AG48">
        <v>3.97</v>
      </c>
      <c r="AH48">
        <v>2</v>
      </c>
      <c r="AI48">
        <v>70471811</v>
      </c>
      <c r="AJ48">
        <v>49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ROW(Source!A38)</f>
        <v>38</v>
      </c>
      <c r="B49">
        <v>70471824</v>
      </c>
      <c r="C49">
        <v>70471807</v>
      </c>
      <c r="D49">
        <v>49672710</v>
      </c>
      <c r="E49">
        <v>1</v>
      </c>
      <c r="F49">
        <v>1</v>
      </c>
      <c r="G49">
        <v>1</v>
      </c>
      <c r="H49">
        <v>2</v>
      </c>
      <c r="I49" t="s">
        <v>306</v>
      </c>
      <c r="J49" t="s">
        <v>307</v>
      </c>
      <c r="K49" t="s">
        <v>308</v>
      </c>
      <c r="L49">
        <v>1367</v>
      </c>
      <c r="N49">
        <v>1011</v>
      </c>
      <c r="O49" t="s">
        <v>267</v>
      </c>
      <c r="P49" t="s">
        <v>267</v>
      </c>
      <c r="Q49">
        <v>1</v>
      </c>
      <c r="X49">
        <v>3.97</v>
      </c>
      <c r="Y49">
        <v>0</v>
      </c>
      <c r="Z49">
        <v>6.9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6</v>
      </c>
      <c r="AG49">
        <v>3.97</v>
      </c>
      <c r="AH49">
        <v>2</v>
      </c>
      <c r="AI49">
        <v>70471812</v>
      </c>
      <c r="AJ49">
        <v>50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ROW(Source!A38)</f>
        <v>38</v>
      </c>
      <c r="B50">
        <v>70471825</v>
      </c>
      <c r="C50">
        <v>70471807</v>
      </c>
      <c r="D50">
        <v>49673503</v>
      </c>
      <c r="E50">
        <v>1</v>
      </c>
      <c r="F50">
        <v>1</v>
      </c>
      <c r="G50">
        <v>1</v>
      </c>
      <c r="H50">
        <v>2</v>
      </c>
      <c r="I50" t="s">
        <v>288</v>
      </c>
      <c r="J50" t="s">
        <v>289</v>
      </c>
      <c r="K50" t="s">
        <v>290</v>
      </c>
      <c r="L50">
        <v>1367</v>
      </c>
      <c r="N50">
        <v>1011</v>
      </c>
      <c r="O50" t="s">
        <v>267</v>
      </c>
      <c r="P50" t="s">
        <v>267</v>
      </c>
      <c r="Q50">
        <v>1</v>
      </c>
      <c r="X50">
        <v>1.32</v>
      </c>
      <c r="Y50">
        <v>0</v>
      </c>
      <c r="Z50">
        <v>65.709999999999994</v>
      </c>
      <c r="AA50">
        <v>11.6</v>
      </c>
      <c r="AB50">
        <v>0</v>
      </c>
      <c r="AC50">
        <v>0</v>
      </c>
      <c r="AD50">
        <v>1</v>
      </c>
      <c r="AE50">
        <v>0</v>
      </c>
      <c r="AF50" t="s">
        <v>6</v>
      </c>
      <c r="AG50">
        <v>1.32</v>
      </c>
      <c r="AH50">
        <v>2</v>
      </c>
      <c r="AI50">
        <v>70471813</v>
      </c>
      <c r="AJ50">
        <v>51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ROW(Source!A38)</f>
        <v>38</v>
      </c>
      <c r="B51">
        <v>70471826</v>
      </c>
      <c r="C51">
        <v>70471807</v>
      </c>
      <c r="D51">
        <v>49523499</v>
      </c>
      <c r="E51">
        <v>1</v>
      </c>
      <c r="F51">
        <v>1</v>
      </c>
      <c r="G51">
        <v>1</v>
      </c>
      <c r="H51">
        <v>3</v>
      </c>
      <c r="I51" t="s">
        <v>309</v>
      </c>
      <c r="J51" t="s">
        <v>310</v>
      </c>
      <c r="K51" t="s">
        <v>311</v>
      </c>
      <c r="L51">
        <v>1302</v>
      </c>
      <c r="N51">
        <v>1003</v>
      </c>
      <c r="O51" t="s">
        <v>312</v>
      </c>
      <c r="P51" t="s">
        <v>312</v>
      </c>
      <c r="Q51">
        <v>10</v>
      </c>
      <c r="X51">
        <v>9.6000000000000002E-2</v>
      </c>
      <c r="Y51">
        <v>6.9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6</v>
      </c>
      <c r="AG51">
        <v>9.6000000000000002E-2</v>
      </c>
      <c r="AH51">
        <v>2</v>
      </c>
      <c r="AI51">
        <v>70471814</v>
      </c>
      <c r="AJ51">
        <v>52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ROW(Source!A38)</f>
        <v>38</v>
      </c>
      <c r="B52">
        <v>70471827</v>
      </c>
      <c r="C52">
        <v>70471807</v>
      </c>
      <c r="D52">
        <v>49542980</v>
      </c>
      <c r="E52">
        <v>1</v>
      </c>
      <c r="F52">
        <v>1</v>
      </c>
      <c r="G52">
        <v>1</v>
      </c>
      <c r="H52">
        <v>3</v>
      </c>
      <c r="I52" t="s">
        <v>319</v>
      </c>
      <c r="J52" t="s">
        <v>320</v>
      </c>
      <c r="K52" t="s">
        <v>321</v>
      </c>
      <c r="L52">
        <v>1348</v>
      </c>
      <c r="N52">
        <v>1009</v>
      </c>
      <c r="O52" t="s">
        <v>299</v>
      </c>
      <c r="P52" t="s">
        <v>299</v>
      </c>
      <c r="Q52">
        <v>1000</v>
      </c>
      <c r="X52">
        <v>1E-3</v>
      </c>
      <c r="Y52">
        <v>5000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6</v>
      </c>
      <c r="AG52">
        <v>1E-3</v>
      </c>
      <c r="AH52">
        <v>2</v>
      </c>
      <c r="AI52">
        <v>70471815</v>
      </c>
      <c r="AJ52">
        <v>53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ROW(Source!A38)</f>
        <v>38</v>
      </c>
      <c r="B53">
        <v>70471828</v>
      </c>
      <c r="C53">
        <v>70471807</v>
      </c>
      <c r="D53">
        <v>49543056</v>
      </c>
      <c r="E53">
        <v>1</v>
      </c>
      <c r="F53">
        <v>1</v>
      </c>
      <c r="G53">
        <v>1</v>
      </c>
      <c r="H53">
        <v>3</v>
      </c>
      <c r="I53" t="s">
        <v>322</v>
      </c>
      <c r="J53" t="s">
        <v>323</v>
      </c>
      <c r="K53" t="s">
        <v>324</v>
      </c>
      <c r="L53">
        <v>1348</v>
      </c>
      <c r="N53">
        <v>1009</v>
      </c>
      <c r="O53" t="s">
        <v>299</v>
      </c>
      <c r="P53" t="s">
        <v>299</v>
      </c>
      <c r="Q53">
        <v>1000</v>
      </c>
      <c r="X53">
        <v>0.01</v>
      </c>
      <c r="Y53">
        <v>5763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6</v>
      </c>
      <c r="AG53">
        <v>0.01</v>
      </c>
      <c r="AH53">
        <v>2</v>
      </c>
      <c r="AI53">
        <v>70471816</v>
      </c>
      <c r="AJ53">
        <v>54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ROW(Source!A38)</f>
        <v>38</v>
      </c>
      <c r="B54">
        <v>70471829</v>
      </c>
      <c r="C54">
        <v>70471807</v>
      </c>
      <c r="D54">
        <v>49554585</v>
      </c>
      <c r="E54">
        <v>1</v>
      </c>
      <c r="F54">
        <v>1</v>
      </c>
      <c r="G54">
        <v>1</v>
      </c>
      <c r="H54">
        <v>3</v>
      </c>
      <c r="I54" t="s">
        <v>325</v>
      </c>
      <c r="J54" t="s">
        <v>326</v>
      </c>
      <c r="K54" t="s">
        <v>327</v>
      </c>
      <c r="L54">
        <v>1346</v>
      </c>
      <c r="N54">
        <v>1009</v>
      </c>
      <c r="O54" t="s">
        <v>328</v>
      </c>
      <c r="P54" t="s">
        <v>328</v>
      </c>
      <c r="Q54">
        <v>1</v>
      </c>
      <c r="X54">
        <v>0.25</v>
      </c>
      <c r="Y54">
        <v>28.6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6</v>
      </c>
      <c r="AG54">
        <v>0.25</v>
      </c>
      <c r="AH54">
        <v>2</v>
      </c>
      <c r="AI54">
        <v>70471817</v>
      </c>
      <c r="AJ54">
        <v>55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ROW(Source!A38)</f>
        <v>38</v>
      </c>
      <c r="B55">
        <v>70471830</v>
      </c>
      <c r="C55">
        <v>70471807</v>
      </c>
      <c r="D55">
        <v>49554619</v>
      </c>
      <c r="E55">
        <v>1</v>
      </c>
      <c r="F55">
        <v>1</v>
      </c>
      <c r="G55">
        <v>1</v>
      </c>
      <c r="H55">
        <v>3</v>
      </c>
      <c r="I55" t="s">
        <v>316</v>
      </c>
      <c r="J55" t="s">
        <v>317</v>
      </c>
      <c r="K55" t="s">
        <v>318</v>
      </c>
      <c r="L55">
        <v>1348</v>
      </c>
      <c r="N55">
        <v>1009</v>
      </c>
      <c r="O55" t="s">
        <v>299</v>
      </c>
      <c r="P55" t="s">
        <v>299</v>
      </c>
      <c r="Q55">
        <v>1000</v>
      </c>
      <c r="X55">
        <v>6.0000000000000002E-5</v>
      </c>
      <c r="Y55">
        <v>7826.9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6</v>
      </c>
      <c r="AG55">
        <v>6.0000000000000002E-5</v>
      </c>
      <c r="AH55">
        <v>2</v>
      </c>
      <c r="AI55">
        <v>70471818</v>
      </c>
      <c r="AJ55">
        <v>56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ROW(Source!A38)</f>
        <v>38</v>
      </c>
      <c r="B56">
        <v>70471831</v>
      </c>
      <c r="C56">
        <v>70471807</v>
      </c>
      <c r="D56">
        <v>49515638</v>
      </c>
      <c r="E56">
        <v>70</v>
      </c>
      <c r="F56">
        <v>1</v>
      </c>
      <c r="G56">
        <v>1</v>
      </c>
      <c r="H56">
        <v>3</v>
      </c>
      <c r="I56" t="s">
        <v>291</v>
      </c>
      <c r="J56" t="s">
        <v>6</v>
      </c>
      <c r="K56" t="s">
        <v>292</v>
      </c>
      <c r="L56">
        <v>1374</v>
      </c>
      <c r="N56">
        <v>1013</v>
      </c>
      <c r="O56" t="s">
        <v>293</v>
      </c>
      <c r="P56" t="s">
        <v>293</v>
      </c>
      <c r="Q56">
        <v>1</v>
      </c>
      <c r="X56">
        <v>3.28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6</v>
      </c>
      <c r="AG56">
        <v>3.28</v>
      </c>
      <c r="AH56">
        <v>2</v>
      </c>
      <c r="AI56">
        <v>70471819</v>
      </c>
      <c r="AJ56">
        <v>57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ROW(Source!A39)</f>
        <v>39</v>
      </c>
      <c r="B57">
        <v>70470345</v>
      </c>
      <c r="C57">
        <v>70470332</v>
      </c>
      <c r="D57">
        <v>31709494</v>
      </c>
      <c r="E57">
        <v>70</v>
      </c>
      <c r="F57">
        <v>1</v>
      </c>
      <c r="G57">
        <v>1</v>
      </c>
      <c r="H57">
        <v>1</v>
      </c>
      <c r="I57" t="s">
        <v>283</v>
      </c>
      <c r="J57" t="s">
        <v>6</v>
      </c>
      <c r="K57" t="s">
        <v>284</v>
      </c>
      <c r="L57">
        <v>1191</v>
      </c>
      <c r="N57">
        <v>1013</v>
      </c>
      <c r="O57" t="s">
        <v>263</v>
      </c>
      <c r="P57" t="s">
        <v>263</v>
      </c>
      <c r="Q57">
        <v>1</v>
      </c>
      <c r="X57">
        <v>17.600000000000001</v>
      </c>
      <c r="Y57">
        <v>0</v>
      </c>
      <c r="Z57">
        <v>0</v>
      </c>
      <c r="AA57">
        <v>0</v>
      </c>
      <c r="AB57">
        <v>9.4</v>
      </c>
      <c r="AC57">
        <v>0</v>
      </c>
      <c r="AD57">
        <v>1</v>
      </c>
      <c r="AE57">
        <v>1</v>
      </c>
      <c r="AF57" t="s">
        <v>6</v>
      </c>
      <c r="AG57">
        <v>17.600000000000001</v>
      </c>
      <c r="AH57">
        <v>2</v>
      </c>
      <c r="AI57">
        <v>70470333</v>
      </c>
      <c r="AJ57">
        <v>58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ROW(Source!A39)</f>
        <v>39</v>
      </c>
      <c r="B58">
        <v>70470346</v>
      </c>
      <c r="C58">
        <v>70470332</v>
      </c>
      <c r="D58">
        <v>31709492</v>
      </c>
      <c r="E58">
        <v>70</v>
      </c>
      <c r="F58">
        <v>1</v>
      </c>
      <c r="G58">
        <v>1</v>
      </c>
      <c r="H58">
        <v>1</v>
      </c>
      <c r="I58" t="s">
        <v>261</v>
      </c>
      <c r="J58" t="s">
        <v>6</v>
      </c>
      <c r="K58" t="s">
        <v>262</v>
      </c>
      <c r="L58">
        <v>1191</v>
      </c>
      <c r="N58">
        <v>1013</v>
      </c>
      <c r="O58" t="s">
        <v>263</v>
      </c>
      <c r="P58" t="s">
        <v>263</v>
      </c>
      <c r="Q58">
        <v>1</v>
      </c>
      <c r="X58">
        <v>3.88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2</v>
      </c>
      <c r="AF58" t="s">
        <v>6</v>
      </c>
      <c r="AG58">
        <v>3.88</v>
      </c>
      <c r="AH58">
        <v>2</v>
      </c>
      <c r="AI58">
        <v>70470334</v>
      </c>
      <c r="AJ58">
        <v>59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ROW(Source!A39)</f>
        <v>39</v>
      </c>
      <c r="B59">
        <v>70470347</v>
      </c>
      <c r="C59">
        <v>70470332</v>
      </c>
      <c r="D59">
        <v>49672573</v>
      </c>
      <c r="E59">
        <v>1</v>
      </c>
      <c r="F59">
        <v>1</v>
      </c>
      <c r="G59">
        <v>1</v>
      </c>
      <c r="H59">
        <v>2</v>
      </c>
      <c r="I59" t="s">
        <v>285</v>
      </c>
      <c r="J59" t="s">
        <v>286</v>
      </c>
      <c r="K59" t="s">
        <v>287</v>
      </c>
      <c r="L59">
        <v>1367</v>
      </c>
      <c r="N59">
        <v>1011</v>
      </c>
      <c r="O59" t="s">
        <v>267</v>
      </c>
      <c r="P59" t="s">
        <v>267</v>
      </c>
      <c r="Q59">
        <v>1</v>
      </c>
      <c r="X59">
        <v>1.94</v>
      </c>
      <c r="Y59">
        <v>0</v>
      </c>
      <c r="Z59">
        <v>115.4</v>
      </c>
      <c r="AA59">
        <v>13.5</v>
      </c>
      <c r="AB59">
        <v>0</v>
      </c>
      <c r="AC59">
        <v>0</v>
      </c>
      <c r="AD59">
        <v>1</v>
      </c>
      <c r="AE59">
        <v>0</v>
      </c>
      <c r="AF59" t="s">
        <v>6</v>
      </c>
      <c r="AG59">
        <v>1.94</v>
      </c>
      <c r="AH59">
        <v>2</v>
      </c>
      <c r="AI59">
        <v>70470335</v>
      </c>
      <c r="AJ59">
        <v>60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ROW(Source!A39)</f>
        <v>39</v>
      </c>
      <c r="B60">
        <v>70470348</v>
      </c>
      <c r="C60">
        <v>70470332</v>
      </c>
      <c r="D60">
        <v>49672654</v>
      </c>
      <c r="E60">
        <v>1</v>
      </c>
      <c r="F60">
        <v>1</v>
      </c>
      <c r="G60">
        <v>1</v>
      </c>
      <c r="H60">
        <v>2</v>
      </c>
      <c r="I60" t="s">
        <v>303</v>
      </c>
      <c r="J60" t="s">
        <v>304</v>
      </c>
      <c r="K60" t="s">
        <v>305</v>
      </c>
      <c r="L60">
        <v>1367</v>
      </c>
      <c r="N60">
        <v>1011</v>
      </c>
      <c r="O60" t="s">
        <v>267</v>
      </c>
      <c r="P60" t="s">
        <v>267</v>
      </c>
      <c r="Q60">
        <v>1</v>
      </c>
      <c r="X60">
        <v>3.97</v>
      </c>
      <c r="Y60">
        <v>0</v>
      </c>
      <c r="Z60">
        <v>0.9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6</v>
      </c>
      <c r="AG60">
        <v>3.97</v>
      </c>
      <c r="AH60">
        <v>2</v>
      </c>
      <c r="AI60">
        <v>70470336</v>
      </c>
      <c r="AJ60">
        <v>61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ROW(Source!A39)</f>
        <v>39</v>
      </c>
      <c r="B61">
        <v>70470349</v>
      </c>
      <c r="C61">
        <v>70470332</v>
      </c>
      <c r="D61">
        <v>49672710</v>
      </c>
      <c r="E61">
        <v>1</v>
      </c>
      <c r="F61">
        <v>1</v>
      </c>
      <c r="G61">
        <v>1</v>
      </c>
      <c r="H61">
        <v>2</v>
      </c>
      <c r="I61" t="s">
        <v>306</v>
      </c>
      <c r="J61" t="s">
        <v>307</v>
      </c>
      <c r="K61" t="s">
        <v>308</v>
      </c>
      <c r="L61">
        <v>1367</v>
      </c>
      <c r="N61">
        <v>1011</v>
      </c>
      <c r="O61" t="s">
        <v>267</v>
      </c>
      <c r="P61" t="s">
        <v>267</v>
      </c>
      <c r="Q61">
        <v>1</v>
      </c>
      <c r="X61">
        <v>3.97</v>
      </c>
      <c r="Y61">
        <v>0</v>
      </c>
      <c r="Z61">
        <v>6.9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6</v>
      </c>
      <c r="AG61">
        <v>3.97</v>
      </c>
      <c r="AH61">
        <v>2</v>
      </c>
      <c r="AI61">
        <v>70470337</v>
      </c>
      <c r="AJ61">
        <v>62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ROW(Source!A39)</f>
        <v>39</v>
      </c>
      <c r="B62">
        <v>70470350</v>
      </c>
      <c r="C62">
        <v>70470332</v>
      </c>
      <c r="D62">
        <v>49673503</v>
      </c>
      <c r="E62">
        <v>1</v>
      </c>
      <c r="F62">
        <v>1</v>
      </c>
      <c r="G62">
        <v>1</v>
      </c>
      <c r="H62">
        <v>2</v>
      </c>
      <c r="I62" t="s">
        <v>288</v>
      </c>
      <c r="J62" t="s">
        <v>289</v>
      </c>
      <c r="K62" t="s">
        <v>290</v>
      </c>
      <c r="L62">
        <v>1367</v>
      </c>
      <c r="N62">
        <v>1011</v>
      </c>
      <c r="O62" t="s">
        <v>267</v>
      </c>
      <c r="P62" t="s">
        <v>267</v>
      </c>
      <c r="Q62">
        <v>1</v>
      </c>
      <c r="X62">
        <v>1.94</v>
      </c>
      <c r="Y62">
        <v>0</v>
      </c>
      <c r="Z62">
        <v>65.709999999999994</v>
      </c>
      <c r="AA62">
        <v>11.6</v>
      </c>
      <c r="AB62">
        <v>0</v>
      </c>
      <c r="AC62">
        <v>0</v>
      </c>
      <c r="AD62">
        <v>1</v>
      </c>
      <c r="AE62">
        <v>0</v>
      </c>
      <c r="AF62" t="s">
        <v>6</v>
      </c>
      <c r="AG62">
        <v>1.94</v>
      </c>
      <c r="AH62">
        <v>2</v>
      </c>
      <c r="AI62">
        <v>70470338</v>
      </c>
      <c r="AJ62">
        <v>63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ROW(Source!A39)</f>
        <v>39</v>
      </c>
      <c r="B63">
        <v>70470351</v>
      </c>
      <c r="C63">
        <v>70470332</v>
      </c>
      <c r="D63">
        <v>49523499</v>
      </c>
      <c r="E63">
        <v>1</v>
      </c>
      <c r="F63">
        <v>1</v>
      </c>
      <c r="G63">
        <v>1</v>
      </c>
      <c r="H63">
        <v>3</v>
      </c>
      <c r="I63" t="s">
        <v>309</v>
      </c>
      <c r="J63" t="s">
        <v>310</v>
      </c>
      <c r="K63" t="s">
        <v>311</v>
      </c>
      <c r="L63">
        <v>1302</v>
      </c>
      <c r="N63">
        <v>1003</v>
      </c>
      <c r="O63" t="s">
        <v>312</v>
      </c>
      <c r="P63" t="s">
        <v>312</v>
      </c>
      <c r="Q63">
        <v>10</v>
      </c>
      <c r="X63">
        <v>9.6000000000000002E-2</v>
      </c>
      <c r="Y63">
        <v>6.9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6</v>
      </c>
      <c r="AG63">
        <v>9.6000000000000002E-2</v>
      </c>
      <c r="AH63">
        <v>2</v>
      </c>
      <c r="AI63">
        <v>70470339</v>
      </c>
      <c r="AJ63">
        <v>64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ROW(Source!A39)</f>
        <v>39</v>
      </c>
      <c r="B64">
        <v>70470352</v>
      </c>
      <c r="C64">
        <v>70470332</v>
      </c>
      <c r="D64">
        <v>49542980</v>
      </c>
      <c r="E64">
        <v>1</v>
      </c>
      <c r="F64">
        <v>1</v>
      </c>
      <c r="G64">
        <v>1</v>
      </c>
      <c r="H64">
        <v>3</v>
      </c>
      <c r="I64" t="s">
        <v>319</v>
      </c>
      <c r="J64" t="s">
        <v>320</v>
      </c>
      <c r="K64" t="s">
        <v>321</v>
      </c>
      <c r="L64">
        <v>1348</v>
      </c>
      <c r="N64">
        <v>1009</v>
      </c>
      <c r="O64" t="s">
        <v>299</v>
      </c>
      <c r="P64" t="s">
        <v>299</v>
      </c>
      <c r="Q64">
        <v>1000</v>
      </c>
      <c r="X64">
        <v>1E-3</v>
      </c>
      <c r="Y64">
        <v>5000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6</v>
      </c>
      <c r="AG64">
        <v>1E-3</v>
      </c>
      <c r="AH64">
        <v>2</v>
      </c>
      <c r="AI64">
        <v>70470340</v>
      </c>
      <c r="AJ64">
        <v>65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ROW(Source!A39)</f>
        <v>39</v>
      </c>
      <c r="B65">
        <v>70470353</v>
      </c>
      <c r="C65">
        <v>70470332</v>
      </c>
      <c r="D65">
        <v>49543056</v>
      </c>
      <c r="E65">
        <v>1</v>
      </c>
      <c r="F65">
        <v>1</v>
      </c>
      <c r="G65">
        <v>1</v>
      </c>
      <c r="H65">
        <v>3</v>
      </c>
      <c r="I65" t="s">
        <v>322</v>
      </c>
      <c r="J65" t="s">
        <v>323</v>
      </c>
      <c r="K65" t="s">
        <v>324</v>
      </c>
      <c r="L65">
        <v>1348</v>
      </c>
      <c r="N65">
        <v>1009</v>
      </c>
      <c r="O65" t="s">
        <v>299</v>
      </c>
      <c r="P65" t="s">
        <v>299</v>
      </c>
      <c r="Q65">
        <v>1000</v>
      </c>
      <c r="X65">
        <v>0.01</v>
      </c>
      <c r="Y65">
        <v>5763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6</v>
      </c>
      <c r="AG65">
        <v>0.01</v>
      </c>
      <c r="AH65">
        <v>2</v>
      </c>
      <c r="AI65">
        <v>70470341</v>
      </c>
      <c r="AJ65">
        <v>66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ROW(Source!A39)</f>
        <v>39</v>
      </c>
      <c r="B66">
        <v>70470354</v>
      </c>
      <c r="C66">
        <v>70470332</v>
      </c>
      <c r="D66">
        <v>49554585</v>
      </c>
      <c r="E66">
        <v>1</v>
      </c>
      <c r="F66">
        <v>1</v>
      </c>
      <c r="G66">
        <v>1</v>
      </c>
      <c r="H66">
        <v>3</v>
      </c>
      <c r="I66" t="s">
        <v>325</v>
      </c>
      <c r="J66" t="s">
        <v>326</v>
      </c>
      <c r="K66" t="s">
        <v>327</v>
      </c>
      <c r="L66">
        <v>1346</v>
      </c>
      <c r="N66">
        <v>1009</v>
      </c>
      <c r="O66" t="s">
        <v>328</v>
      </c>
      <c r="P66" t="s">
        <v>328</v>
      </c>
      <c r="Q66">
        <v>1</v>
      </c>
      <c r="X66">
        <v>0.25</v>
      </c>
      <c r="Y66">
        <v>28.6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6</v>
      </c>
      <c r="AG66">
        <v>0.25</v>
      </c>
      <c r="AH66">
        <v>2</v>
      </c>
      <c r="AI66">
        <v>70470342</v>
      </c>
      <c r="AJ66">
        <v>67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ROW(Source!A39)</f>
        <v>39</v>
      </c>
      <c r="B67">
        <v>70470355</v>
      </c>
      <c r="C67">
        <v>70470332</v>
      </c>
      <c r="D67">
        <v>49554619</v>
      </c>
      <c r="E67">
        <v>1</v>
      </c>
      <c r="F67">
        <v>1</v>
      </c>
      <c r="G67">
        <v>1</v>
      </c>
      <c r="H67">
        <v>3</v>
      </c>
      <c r="I67" t="s">
        <v>316</v>
      </c>
      <c r="J67" t="s">
        <v>317</v>
      </c>
      <c r="K67" t="s">
        <v>318</v>
      </c>
      <c r="L67">
        <v>1348</v>
      </c>
      <c r="N67">
        <v>1009</v>
      </c>
      <c r="O67" t="s">
        <v>299</v>
      </c>
      <c r="P67" t="s">
        <v>299</v>
      </c>
      <c r="Q67">
        <v>1000</v>
      </c>
      <c r="X67">
        <v>6.0000000000000002E-5</v>
      </c>
      <c r="Y67">
        <v>7826.9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6</v>
      </c>
      <c r="AG67">
        <v>6.0000000000000002E-5</v>
      </c>
      <c r="AH67">
        <v>2</v>
      </c>
      <c r="AI67">
        <v>70470343</v>
      </c>
      <c r="AJ67">
        <v>68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ROW(Source!A39)</f>
        <v>39</v>
      </c>
      <c r="B68">
        <v>70470356</v>
      </c>
      <c r="C68">
        <v>70470332</v>
      </c>
      <c r="D68">
        <v>49515638</v>
      </c>
      <c r="E68">
        <v>70</v>
      </c>
      <c r="F68">
        <v>1</v>
      </c>
      <c r="G68">
        <v>1</v>
      </c>
      <c r="H68">
        <v>3</v>
      </c>
      <c r="I68" t="s">
        <v>291</v>
      </c>
      <c r="J68" t="s">
        <v>6</v>
      </c>
      <c r="K68" t="s">
        <v>292</v>
      </c>
      <c r="L68">
        <v>1374</v>
      </c>
      <c r="N68">
        <v>1013</v>
      </c>
      <c r="O68" t="s">
        <v>293</v>
      </c>
      <c r="P68" t="s">
        <v>293</v>
      </c>
      <c r="Q68">
        <v>1</v>
      </c>
      <c r="X68">
        <v>3.31</v>
      </c>
      <c r="Y68">
        <v>1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6</v>
      </c>
      <c r="AG68">
        <v>3.31</v>
      </c>
      <c r="AH68">
        <v>2</v>
      </c>
      <c r="AI68">
        <v>70470344</v>
      </c>
      <c r="AJ68">
        <v>69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ROW(Source!A42)</f>
        <v>42</v>
      </c>
      <c r="B69">
        <v>70471848</v>
      </c>
      <c r="C69">
        <v>70470357</v>
      </c>
      <c r="D69">
        <v>49510749</v>
      </c>
      <c r="E69">
        <v>70</v>
      </c>
      <c r="F69">
        <v>1</v>
      </c>
      <c r="G69">
        <v>1</v>
      </c>
      <c r="H69">
        <v>1</v>
      </c>
      <c r="I69" t="s">
        <v>283</v>
      </c>
      <c r="J69" t="s">
        <v>6</v>
      </c>
      <c r="K69" t="s">
        <v>284</v>
      </c>
      <c r="L69">
        <v>1191</v>
      </c>
      <c r="N69">
        <v>1013</v>
      </c>
      <c r="O69" t="s">
        <v>263</v>
      </c>
      <c r="P69" t="s">
        <v>263</v>
      </c>
      <c r="Q69">
        <v>1</v>
      </c>
      <c r="X69">
        <v>10.32</v>
      </c>
      <c r="Y69">
        <v>0</v>
      </c>
      <c r="Z69">
        <v>0</v>
      </c>
      <c r="AA69">
        <v>0</v>
      </c>
      <c r="AB69">
        <v>9.4</v>
      </c>
      <c r="AC69">
        <v>0</v>
      </c>
      <c r="AD69">
        <v>1</v>
      </c>
      <c r="AE69">
        <v>1</v>
      </c>
      <c r="AF69" t="s">
        <v>6</v>
      </c>
      <c r="AG69">
        <v>10.32</v>
      </c>
      <c r="AH69">
        <v>2</v>
      </c>
      <c r="AI69">
        <v>70471848</v>
      </c>
      <c r="AJ69">
        <v>70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ROW(Source!A42)</f>
        <v>42</v>
      </c>
      <c r="B70">
        <v>70471849</v>
      </c>
      <c r="C70">
        <v>70470357</v>
      </c>
      <c r="D70">
        <v>49510905</v>
      </c>
      <c r="E70">
        <v>70</v>
      </c>
      <c r="F70">
        <v>1</v>
      </c>
      <c r="G70">
        <v>1</v>
      </c>
      <c r="H70">
        <v>1</v>
      </c>
      <c r="I70" t="s">
        <v>261</v>
      </c>
      <c r="J70" t="s">
        <v>6</v>
      </c>
      <c r="K70" t="s">
        <v>262</v>
      </c>
      <c r="L70">
        <v>1191</v>
      </c>
      <c r="N70">
        <v>1013</v>
      </c>
      <c r="O70" t="s">
        <v>263</v>
      </c>
      <c r="P70" t="s">
        <v>263</v>
      </c>
      <c r="Q70">
        <v>1</v>
      </c>
      <c r="X70">
        <v>0.02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2</v>
      </c>
      <c r="AF70" t="s">
        <v>6</v>
      </c>
      <c r="AG70">
        <v>0.02</v>
      </c>
      <c r="AH70">
        <v>2</v>
      </c>
      <c r="AI70">
        <v>70471849</v>
      </c>
      <c r="AJ70">
        <v>71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ROW(Source!A42)</f>
        <v>42</v>
      </c>
      <c r="B71">
        <v>70471850</v>
      </c>
      <c r="C71">
        <v>70470357</v>
      </c>
      <c r="D71">
        <v>49672573</v>
      </c>
      <c r="E71">
        <v>1</v>
      </c>
      <c r="F71">
        <v>1</v>
      </c>
      <c r="G71">
        <v>1</v>
      </c>
      <c r="H71">
        <v>2</v>
      </c>
      <c r="I71" t="s">
        <v>285</v>
      </c>
      <c r="J71" t="s">
        <v>286</v>
      </c>
      <c r="K71" t="s">
        <v>287</v>
      </c>
      <c r="L71">
        <v>1367</v>
      </c>
      <c r="N71">
        <v>1011</v>
      </c>
      <c r="O71" t="s">
        <v>267</v>
      </c>
      <c r="P71" t="s">
        <v>267</v>
      </c>
      <c r="Q71">
        <v>1</v>
      </c>
      <c r="X71">
        <v>0.01</v>
      </c>
      <c r="Y71">
        <v>0</v>
      </c>
      <c r="Z71">
        <v>115.4</v>
      </c>
      <c r="AA71">
        <v>13.5</v>
      </c>
      <c r="AB71">
        <v>0</v>
      </c>
      <c r="AC71">
        <v>0</v>
      </c>
      <c r="AD71">
        <v>1</v>
      </c>
      <c r="AE71">
        <v>0</v>
      </c>
      <c r="AF71" t="s">
        <v>6</v>
      </c>
      <c r="AG71">
        <v>0.01</v>
      </c>
      <c r="AH71">
        <v>2</v>
      </c>
      <c r="AI71">
        <v>70471850</v>
      </c>
      <c r="AJ71">
        <v>72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ROW(Source!A42)</f>
        <v>42</v>
      </c>
      <c r="B72">
        <v>70471851</v>
      </c>
      <c r="C72">
        <v>70470357</v>
      </c>
      <c r="D72">
        <v>49673503</v>
      </c>
      <c r="E72">
        <v>1</v>
      </c>
      <c r="F72">
        <v>1</v>
      </c>
      <c r="G72">
        <v>1</v>
      </c>
      <c r="H72">
        <v>2</v>
      </c>
      <c r="I72" t="s">
        <v>288</v>
      </c>
      <c r="J72" t="s">
        <v>289</v>
      </c>
      <c r="K72" t="s">
        <v>290</v>
      </c>
      <c r="L72">
        <v>1367</v>
      </c>
      <c r="N72">
        <v>1011</v>
      </c>
      <c r="O72" t="s">
        <v>267</v>
      </c>
      <c r="P72" t="s">
        <v>267</v>
      </c>
      <c r="Q72">
        <v>1</v>
      </c>
      <c r="X72">
        <v>0.01</v>
      </c>
      <c r="Y72">
        <v>0</v>
      </c>
      <c r="Z72">
        <v>65.709999999999994</v>
      </c>
      <c r="AA72">
        <v>11.6</v>
      </c>
      <c r="AB72">
        <v>0</v>
      </c>
      <c r="AC72">
        <v>0</v>
      </c>
      <c r="AD72">
        <v>1</v>
      </c>
      <c r="AE72">
        <v>0</v>
      </c>
      <c r="AF72" t="s">
        <v>6</v>
      </c>
      <c r="AG72">
        <v>0.01</v>
      </c>
      <c r="AH72">
        <v>2</v>
      </c>
      <c r="AI72">
        <v>70471851</v>
      </c>
      <c r="AJ72">
        <v>73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ROW(Source!A42)</f>
        <v>42</v>
      </c>
      <c r="B73">
        <v>70471852</v>
      </c>
      <c r="C73">
        <v>70470357</v>
      </c>
      <c r="D73">
        <v>49521481</v>
      </c>
      <c r="E73">
        <v>1</v>
      </c>
      <c r="F73">
        <v>1</v>
      </c>
      <c r="G73">
        <v>1</v>
      </c>
      <c r="H73">
        <v>3</v>
      </c>
      <c r="I73" t="s">
        <v>329</v>
      </c>
      <c r="J73" t="s">
        <v>330</v>
      </c>
      <c r="K73" t="s">
        <v>331</v>
      </c>
      <c r="L73">
        <v>1348</v>
      </c>
      <c r="N73">
        <v>1009</v>
      </c>
      <c r="O73" t="s">
        <v>299</v>
      </c>
      <c r="P73" t="s">
        <v>299</v>
      </c>
      <c r="Q73">
        <v>1000</v>
      </c>
      <c r="X73">
        <v>8.0000000000000004E-4</v>
      </c>
      <c r="Y73">
        <v>4488.3999999999996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6</v>
      </c>
      <c r="AG73">
        <v>8.0000000000000004E-4</v>
      </c>
      <c r="AH73">
        <v>2</v>
      </c>
      <c r="AI73">
        <v>70471852</v>
      </c>
      <c r="AJ73">
        <v>74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ROW(Source!A42)</f>
        <v>42</v>
      </c>
      <c r="B74">
        <v>70471853</v>
      </c>
      <c r="C74">
        <v>70470357</v>
      </c>
      <c r="D74">
        <v>49521513</v>
      </c>
      <c r="E74">
        <v>1</v>
      </c>
      <c r="F74">
        <v>1</v>
      </c>
      <c r="G74">
        <v>1</v>
      </c>
      <c r="H74">
        <v>3</v>
      </c>
      <c r="I74" t="s">
        <v>332</v>
      </c>
      <c r="J74" t="s">
        <v>333</v>
      </c>
      <c r="K74" t="s">
        <v>334</v>
      </c>
      <c r="L74">
        <v>1348</v>
      </c>
      <c r="N74">
        <v>1009</v>
      </c>
      <c r="O74" t="s">
        <v>299</v>
      </c>
      <c r="P74" t="s">
        <v>299</v>
      </c>
      <c r="Q74">
        <v>1000</v>
      </c>
      <c r="X74">
        <v>2.0000000000000002E-5</v>
      </c>
      <c r="Y74">
        <v>8105.71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6</v>
      </c>
      <c r="AG74">
        <v>2.0000000000000002E-5</v>
      </c>
      <c r="AH74">
        <v>2</v>
      </c>
      <c r="AI74">
        <v>70471853</v>
      </c>
      <c r="AJ74">
        <v>75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ROW(Source!A42)</f>
        <v>42</v>
      </c>
      <c r="B75">
        <v>70471854</v>
      </c>
      <c r="C75">
        <v>70470357</v>
      </c>
      <c r="D75">
        <v>49523499</v>
      </c>
      <c r="E75">
        <v>1</v>
      </c>
      <c r="F75">
        <v>1</v>
      </c>
      <c r="G75">
        <v>1</v>
      </c>
      <c r="H75">
        <v>3</v>
      </c>
      <c r="I75" t="s">
        <v>309</v>
      </c>
      <c r="J75" t="s">
        <v>310</v>
      </c>
      <c r="K75" t="s">
        <v>311</v>
      </c>
      <c r="L75">
        <v>1302</v>
      </c>
      <c r="N75">
        <v>1003</v>
      </c>
      <c r="O75" t="s">
        <v>312</v>
      </c>
      <c r="P75" t="s">
        <v>312</v>
      </c>
      <c r="Q75">
        <v>10</v>
      </c>
      <c r="X75">
        <v>2.4E-2</v>
      </c>
      <c r="Y75">
        <v>6.9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6</v>
      </c>
      <c r="AG75">
        <v>2.4E-2</v>
      </c>
      <c r="AH75">
        <v>2</v>
      </c>
      <c r="AI75">
        <v>70471854</v>
      </c>
      <c r="AJ75">
        <v>76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ROW(Source!A42)</f>
        <v>42</v>
      </c>
      <c r="B76">
        <v>70471855</v>
      </c>
      <c r="C76">
        <v>70470357</v>
      </c>
      <c r="D76">
        <v>49568003</v>
      </c>
      <c r="E76">
        <v>1</v>
      </c>
      <c r="F76">
        <v>1</v>
      </c>
      <c r="G76">
        <v>1</v>
      </c>
      <c r="H76">
        <v>3</v>
      </c>
      <c r="I76" t="s">
        <v>335</v>
      </c>
      <c r="J76" t="s">
        <v>336</v>
      </c>
      <c r="K76" t="s">
        <v>337</v>
      </c>
      <c r="L76">
        <v>1425</v>
      </c>
      <c r="N76">
        <v>1013</v>
      </c>
      <c r="O76" t="s">
        <v>338</v>
      </c>
      <c r="P76" t="s">
        <v>338</v>
      </c>
      <c r="Q76">
        <v>1</v>
      </c>
      <c r="X76">
        <v>3.1E-2</v>
      </c>
      <c r="Y76">
        <v>3120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6</v>
      </c>
      <c r="AG76">
        <v>3.1E-2</v>
      </c>
      <c r="AH76">
        <v>2</v>
      </c>
      <c r="AI76">
        <v>70471855</v>
      </c>
      <c r="AJ76">
        <v>77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ROW(Source!A42)</f>
        <v>42</v>
      </c>
      <c r="B77">
        <v>70471856</v>
      </c>
      <c r="C77">
        <v>70470357</v>
      </c>
      <c r="D77">
        <v>49515638</v>
      </c>
      <c r="E77">
        <v>70</v>
      </c>
      <c r="F77">
        <v>1</v>
      </c>
      <c r="G77">
        <v>1</v>
      </c>
      <c r="H77">
        <v>3</v>
      </c>
      <c r="I77" t="s">
        <v>291</v>
      </c>
      <c r="J77" t="s">
        <v>6</v>
      </c>
      <c r="K77" t="s">
        <v>292</v>
      </c>
      <c r="L77">
        <v>1374</v>
      </c>
      <c r="N77">
        <v>1013</v>
      </c>
      <c r="O77" t="s">
        <v>293</v>
      </c>
      <c r="P77" t="s">
        <v>293</v>
      </c>
      <c r="Q77">
        <v>1</v>
      </c>
      <c r="X77">
        <v>1.94</v>
      </c>
      <c r="Y77">
        <v>1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6</v>
      </c>
      <c r="AG77">
        <v>1.94</v>
      </c>
      <c r="AH77">
        <v>2</v>
      </c>
      <c r="AI77">
        <v>70471856</v>
      </c>
      <c r="AJ77">
        <v>78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25</v>
      </c>
      <c r="B1">
        <v>1</v>
      </c>
      <c r="C1" t="s">
        <v>6</v>
      </c>
      <c r="D1" t="s">
        <v>6</v>
      </c>
      <c r="E1" t="s">
        <v>6</v>
      </c>
      <c r="F1" t="s">
        <v>6</v>
      </c>
      <c r="G1" t="s">
        <v>33</v>
      </c>
      <c r="H1" t="s">
        <v>6</v>
      </c>
      <c r="I1" t="s">
        <v>33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339</v>
      </c>
      <c r="T1" t="s">
        <v>340</v>
      </c>
      <c r="U1" t="s">
        <v>341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28762</v>
      </c>
      <c r="M1">
        <v>66419001</v>
      </c>
      <c r="N1">
        <v>11</v>
      </c>
      <c r="O1">
        <v>11</v>
      </c>
      <c r="P1">
        <v>0</v>
      </c>
      <c r="Q1">
        <v>3</v>
      </c>
    </row>
    <row r="12" spans="1:103" x14ac:dyDescent="0.2">
      <c r="F12" t="str">
        <f>Source!F12</f>
        <v>6.3.6  Электроснабжение 10 кВ. Переустройство сетей.</v>
      </c>
      <c r="G12" t="str">
        <f>Source!G12</f>
        <v>Внеплощадочные сети инженерного обеспечения квартала "Зеленые холмы" г. Калуга.</v>
      </c>
      <c r="AB12" t="s">
        <v>6</v>
      </c>
      <c r="AC12" t="s">
        <v>6</v>
      </c>
      <c r="AD12" t="s">
        <v>6</v>
      </c>
      <c r="AE12" t="s">
        <v>6</v>
      </c>
      <c r="AH12" t="s">
        <v>6</v>
      </c>
      <c r="AI12" t="s">
        <v>6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76"/>
  <sheetViews>
    <sheetView workbookViewId="0">
      <selection sqref="A1:G1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2" customFormat="1" ht="11.25" x14ac:dyDescent="0.2">
      <c r="A1" s="149" t="s">
        <v>369</v>
      </c>
      <c r="B1" s="149"/>
      <c r="C1" s="149"/>
      <c r="D1" s="149"/>
      <c r="E1" s="149"/>
      <c r="F1" s="149"/>
      <c r="G1" s="149"/>
    </row>
    <row r="3" spans="1:255" x14ac:dyDescent="0.2">
      <c r="A3" s="15" t="s">
        <v>370</v>
      </c>
      <c r="B3" s="14"/>
      <c r="C3" s="139"/>
      <c r="D3" s="140"/>
      <c r="E3" s="140"/>
      <c r="F3" s="140"/>
      <c r="G3" s="140"/>
      <c r="BR3" s="17">
        <f>C3</f>
        <v>0</v>
      </c>
      <c r="IU3" s="18"/>
    </row>
    <row r="4" spans="1:255" x14ac:dyDescent="0.2">
      <c r="A4" s="15" t="s">
        <v>371</v>
      </c>
      <c r="B4" s="14"/>
      <c r="C4" s="141"/>
      <c r="D4" s="142"/>
      <c r="E4" s="142"/>
      <c r="F4" s="142"/>
      <c r="G4" s="142"/>
      <c r="BR4" s="17">
        <f>C4</f>
        <v>0</v>
      </c>
      <c r="IU4" s="18"/>
    </row>
    <row r="5" spans="1:255" x14ac:dyDescent="0.2">
      <c r="A5" s="15" t="s">
        <v>372</v>
      </c>
      <c r="B5" s="14"/>
      <c r="C5" s="141"/>
      <c r="D5" s="142"/>
      <c r="E5" s="142"/>
      <c r="F5" s="142"/>
      <c r="G5" s="142"/>
      <c r="BR5" s="17">
        <f>C5</f>
        <v>0</v>
      </c>
      <c r="IU5" s="18"/>
    </row>
    <row r="6" spans="1:255" x14ac:dyDescent="0.2">
      <c r="A6" s="15" t="s">
        <v>373</v>
      </c>
      <c r="B6" s="14"/>
      <c r="C6" s="143"/>
      <c r="D6" s="144"/>
      <c r="E6" s="144"/>
      <c r="F6" s="144"/>
      <c r="G6" s="144"/>
      <c r="BR6" s="17">
        <f>C6</f>
        <v>0</v>
      </c>
      <c r="IU6" s="18"/>
    </row>
    <row r="7" spans="1:255" x14ac:dyDescent="0.2">
      <c r="A7" s="145"/>
      <c r="B7" s="145"/>
      <c r="C7" s="145"/>
      <c r="D7" s="145"/>
      <c r="E7" s="145"/>
      <c r="F7" s="145"/>
      <c r="G7" s="145"/>
    </row>
    <row r="8" spans="1:255" ht="18.75" x14ac:dyDescent="0.3">
      <c r="A8" s="146" t="s">
        <v>452</v>
      </c>
      <c r="B8" s="146"/>
      <c r="C8" s="146"/>
      <c r="D8" s="146"/>
      <c r="E8" s="146"/>
      <c r="F8" s="146"/>
      <c r="G8" s="146"/>
    </row>
    <row r="9" spans="1:255" x14ac:dyDescent="0.2">
      <c r="A9" s="147"/>
      <c r="B9" s="147"/>
      <c r="C9" s="147"/>
      <c r="D9" s="147"/>
      <c r="E9" s="147"/>
      <c r="F9" s="147"/>
      <c r="G9" s="147"/>
    </row>
    <row r="10" spans="1:255" x14ac:dyDescent="0.2">
      <c r="A10" s="147"/>
      <c r="B10" s="147"/>
      <c r="C10" s="147"/>
      <c r="D10" s="147"/>
      <c r="E10" s="147"/>
      <c r="F10" s="147"/>
      <c r="G10" s="147"/>
    </row>
    <row r="11" spans="1:255" ht="31.5" x14ac:dyDescent="0.25">
      <c r="A11" s="11" t="s">
        <v>409</v>
      </c>
      <c r="B11" s="148" t="s">
        <v>4</v>
      </c>
      <c r="C11" s="148"/>
      <c r="D11" s="148"/>
      <c r="E11" s="148"/>
      <c r="F11" s="148"/>
      <c r="G11" s="148"/>
      <c r="BS11" s="28" t="str">
        <f>B11</f>
        <v>Внеплощадочные сети инженерного обеспечения квартала "Зеленые холмы" г. Калуга.</v>
      </c>
      <c r="IU11" s="18"/>
    </row>
    <row r="12" spans="1:255" ht="31.5" x14ac:dyDescent="0.25">
      <c r="A12" s="11" t="s">
        <v>374</v>
      </c>
      <c r="B12" s="137" t="s">
        <v>4</v>
      </c>
      <c r="C12" s="137"/>
      <c r="D12" s="137"/>
      <c r="E12" s="137"/>
      <c r="F12" s="137"/>
      <c r="G12" s="137"/>
      <c r="BS12" s="28" t="str">
        <f>B12</f>
        <v>Внеплощадочные сети инженерного обеспечения квартала "Зеленые холмы" г. Калуга.</v>
      </c>
      <c r="IU12" s="18"/>
    </row>
    <row r="13" spans="1:255" x14ac:dyDescent="0.2">
      <c r="A13" s="11" t="s">
        <v>375</v>
      </c>
      <c r="B13" s="130" t="s">
        <v>378</v>
      </c>
      <c r="C13" s="131"/>
      <c r="D13" s="131"/>
      <c r="E13" s="131"/>
      <c r="F13" s="131"/>
      <c r="G13" s="131"/>
      <c r="BT13" s="17">
        <f>C13</f>
        <v>0</v>
      </c>
      <c r="IU13" s="18"/>
    </row>
    <row r="15" spans="1:255" x14ac:dyDescent="0.2">
      <c r="A15" s="11" t="s">
        <v>376</v>
      </c>
    </row>
    <row r="16" spans="1:255" x14ac:dyDescent="0.2">
      <c r="A16" s="11" t="s">
        <v>377</v>
      </c>
    </row>
    <row r="17" spans="1:255" x14ac:dyDescent="0.2">
      <c r="A17" s="29" t="s">
        <v>410</v>
      </c>
      <c r="B17" s="29" t="s">
        <v>412</v>
      </c>
      <c r="C17" s="29" t="s">
        <v>415</v>
      </c>
      <c r="D17" s="29" t="s">
        <v>417</v>
      </c>
      <c r="E17" s="29" t="s">
        <v>420</v>
      </c>
      <c r="F17" s="29" t="s">
        <v>422</v>
      </c>
      <c r="G17" s="29" t="s">
        <v>424</v>
      </c>
      <c r="H17" s="29" t="s">
        <v>426</v>
      </c>
      <c r="I17" s="30" t="s">
        <v>393</v>
      </c>
    </row>
    <row r="18" spans="1:255" x14ac:dyDescent="0.2">
      <c r="A18" s="31" t="s">
        <v>411</v>
      </c>
      <c r="B18" s="31" t="s">
        <v>413</v>
      </c>
      <c r="C18" s="31" t="s">
        <v>453</v>
      </c>
      <c r="D18" s="31" t="s">
        <v>418</v>
      </c>
      <c r="E18" s="31" t="s">
        <v>421</v>
      </c>
      <c r="F18" s="31" t="s">
        <v>423</v>
      </c>
      <c r="G18" s="31" t="s">
        <v>425</v>
      </c>
      <c r="H18" s="31" t="s">
        <v>427</v>
      </c>
      <c r="I18" s="32" t="s">
        <v>388</v>
      </c>
    </row>
    <row r="19" spans="1:255" x14ac:dyDescent="0.2">
      <c r="A19" s="31"/>
      <c r="B19" s="31" t="s">
        <v>414</v>
      </c>
      <c r="C19" s="31"/>
      <c r="D19" s="31" t="s">
        <v>419</v>
      </c>
      <c r="E19" s="31"/>
      <c r="F19" s="31"/>
      <c r="G19" s="31" t="s">
        <v>423</v>
      </c>
      <c r="H19" s="31" t="s">
        <v>428</v>
      </c>
      <c r="I19" s="32"/>
    </row>
    <row r="20" spans="1:255" x14ac:dyDescent="0.2">
      <c r="A20" s="29">
        <v>1</v>
      </c>
      <c r="B20" s="29">
        <v>2</v>
      </c>
      <c r="C20" s="29">
        <v>3</v>
      </c>
      <c r="D20" s="29">
        <v>4</v>
      </c>
      <c r="E20" s="29">
        <v>5</v>
      </c>
      <c r="F20" s="29">
        <v>6</v>
      </c>
      <c r="G20" s="29">
        <v>7</v>
      </c>
      <c r="H20" s="29">
        <v>8</v>
      </c>
      <c r="I20" s="30">
        <v>9</v>
      </c>
    </row>
    <row r="21" spans="1:255" x14ac:dyDescent="0.2">
      <c r="A21" s="42"/>
      <c r="B21" s="42" t="s">
        <v>454</v>
      </c>
      <c r="C21" s="42"/>
      <c r="D21" s="42"/>
      <c r="E21" s="42"/>
      <c r="F21" s="42"/>
      <c r="G21" s="39"/>
      <c r="H21" s="39"/>
      <c r="I21" s="39"/>
    </row>
    <row r="22" spans="1:255" s="20" customFormat="1" ht="24" x14ac:dyDescent="0.2">
      <c r="A22" s="43">
        <v>1</v>
      </c>
      <c r="B22" s="44" t="s">
        <v>270</v>
      </c>
      <c r="C22" s="44" t="s">
        <v>271</v>
      </c>
      <c r="D22" s="44" t="s">
        <v>263</v>
      </c>
      <c r="E22" s="45">
        <v>103.9875</v>
      </c>
      <c r="F22" s="46">
        <f>ROUND( 7.5 * 36.67, 2 )</f>
        <v>275.02999999999997</v>
      </c>
      <c r="G22" s="46">
        <f t="shared" ref="G22:G27" si="0">ROUND(E22*F22,2)</f>
        <v>28599.68</v>
      </c>
      <c r="H22" s="47" t="s">
        <v>457</v>
      </c>
      <c r="I22" s="47" t="s">
        <v>431</v>
      </c>
    </row>
    <row r="23" spans="1:255" s="20" customFormat="1" ht="24" x14ac:dyDescent="0.2">
      <c r="A23" s="43">
        <v>2</v>
      </c>
      <c r="B23" s="44" t="s">
        <v>268</v>
      </c>
      <c r="C23" s="44" t="s">
        <v>269</v>
      </c>
      <c r="D23" s="44" t="s">
        <v>263</v>
      </c>
      <c r="E23" s="45">
        <v>19.481000000000002</v>
      </c>
      <c r="F23" s="46">
        <f>ROUND( 7.8 * 36.67, 2 )</f>
        <v>286.02999999999997</v>
      </c>
      <c r="G23" s="46">
        <f t="shared" si="0"/>
        <v>5572.15</v>
      </c>
      <c r="H23" s="47" t="s">
        <v>456</v>
      </c>
      <c r="I23" s="47" t="s">
        <v>431</v>
      </c>
    </row>
    <row r="24" spans="1:255" s="20" customFormat="1" ht="24" x14ac:dyDescent="0.2">
      <c r="A24" s="43">
        <v>3</v>
      </c>
      <c r="B24" s="44" t="s">
        <v>294</v>
      </c>
      <c r="C24" s="44" t="s">
        <v>295</v>
      </c>
      <c r="D24" s="44" t="s">
        <v>263</v>
      </c>
      <c r="E24" s="45">
        <v>24.8</v>
      </c>
      <c r="F24" s="46">
        <f>ROUND( 8.46 * 36.67, 2 )</f>
        <v>310.23</v>
      </c>
      <c r="G24" s="46">
        <f t="shared" si="0"/>
        <v>7693.7</v>
      </c>
      <c r="H24" s="47" t="s">
        <v>460</v>
      </c>
      <c r="I24" s="47" t="s">
        <v>431</v>
      </c>
    </row>
    <row r="25" spans="1:255" s="20" customFormat="1" ht="24" x14ac:dyDescent="0.2">
      <c r="A25" s="43">
        <v>4</v>
      </c>
      <c r="B25" s="44" t="s">
        <v>275</v>
      </c>
      <c r="C25" s="44" t="s">
        <v>276</v>
      </c>
      <c r="D25" s="44" t="s">
        <v>263</v>
      </c>
      <c r="E25" s="45">
        <v>29.257549999999998</v>
      </c>
      <c r="F25" s="46">
        <f>ROUND( 8.53 * 36.67, 2 )</f>
        <v>312.8</v>
      </c>
      <c r="G25" s="46">
        <f t="shared" si="0"/>
        <v>9151.76</v>
      </c>
      <c r="H25" s="47" t="s">
        <v>458</v>
      </c>
      <c r="I25" s="47" t="s">
        <v>431</v>
      </c>
    </row>
    <row r="26" spans="1:255" s="20" customFormat="1" ht="24" x14ac:dyDescent="0.2">
      <c r="A26" s="43">
        <v>5</v>
      </c>
      <c r="B26" s="44" t="s">
        <v>283</v>
      </c>
      <c r="C26" s="44" t="s">
        <v>284</v>
      </c>
      <c r="D26" s="44" t="s">
        <v>263</v>
      </c>
      <c r="E26" s="45">
        <v>699.14936420000004</v>
      </c>
      <c r="F26" s="46">
        <f>ROUND( 9.4 * 36.67, 2 )</f>
        <v>344.7</v>
      </c>
      <c r="G26" s="46">
        <f t="shared" si="0"/>
        <v>240996.79</v>
      </c>
      <c r="H26" s="47" t="s">
        <v>459</v>
      </c>
      <c r="I26" s="47" t="s">
        <v>431</v>
      </c>
    </row>
    <row r="27" spans="1:255" s="20" customFormat="1" ht="12" x14ac:dyDescent="0.2">
      <c r="A27" s="43">
        <v>6</v>
      </c>
      <c r="B27" s="44" t="s">
        <v>261</v>
      </c>
      <c r="C27" s="44" t="s">
        <v>262</v>
      </c>
      <c r="D27" s="44" t="s">
        <v>263</v>
      </c>
      <c r="E27" s="45">
        <v>132.10710200000003</v>
      </c>
      <c r="F27" s="46">
        <f>ROUND( 0, 2 )</f>
        <v>0</v>
      </c>
      <c r="G27" s="46">
        <f t="shared" si="0"/>
        <v>0</v>
      </c>
      <c r="H27" s="53" t="s">
        <v>455</v>
      </c>
      <c r="I27" s="53" t="s">
        <v>431</v>
      </c>
    </row>
    <row r="28" spans="1:255" x14ac:dyDescent="0.2">
      <c r="A28" s="54"/>
      <c r="B28" s="54"/>
      <c r="C28" s="55" t="s">
        <v>392</v>
      </c>
      <c r="D28" s="54"/>
      <c r="E28" s="54"/>
      <c r="F28" s="54"/>
      <c r="G28" s="56">
        <f>ROUND(SUM(G22:G27),2)</f>
        <v>292014.08000000002</v>
      </c>
      <c r="H28" s="54"/>
      <c r="I28" s="54"/>
      <c r="J28" s="18"/>
      <c r="K28" s="38">
        <f>G28</f>
        <v>292014.08000000002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</row>
    <row r="29" spans="1:255" x14ac:dyDescent="0.2">
      <c r="A29" s="19"/>
      <c r="B29" s="24"/>
      <c r="C29" s="24"/>
      <c r="D29" s="24"/>
      <c r="E29" s="24"/>
      <c r="F29" s="24"/>
      <c r="G29" s="57"/>
      <c r="H29" s="24"/>
      <c r="I29" s="57"/>
    </row>
    <row r="30" spans="1:255" x14ac:dyDescent="0.2">
      <c r="A30" s="42"/>
      <c r="B30" s="42" t="s">
        <v>461</v>
      </c>
      <c r="C30" s="42"/>
      <c r="D30" s="42"/>
      <c r="E30" s="42"/>
      <c r="F30" s="42"/>
      <c r="G30" s="39"/>
      <c r="H30" s="39"/>
      <c r="I30" s="39"/>
    </row>
    <row r="31" spans="1:255" s="20" customFormat="1" ht="24" x14ac:dyDescent="0.2">
      <c r="A31" s="43">
        <v>7</v>
      </c>
      <c r="B31" s="44" t="s">
        <v>272</v>
      </c>
      <c r="C31" s="44" t="s">
        <v>274</v>
      </c>
      <c r="D31" s="44" t="s">
        <v>267</v>
      </c>
      <c r="E31" s="45">
        <v>1.88201</v>
      </c>
      <c r="F31" s="46">
        <f>ROUND( 59.47 * 11.25, 2 )</f>
        <v>669.04</v>
      </c>
      <c r="G31" s="46">
        <f t="shared" ref="G31:G38" si="1">ROUND(E31*F31,2)</f>
        <v>1259.1400000000001</v>
      </c>
      <c r="H31" s="47" t="s">
        <v>463</v>
      </c>
      <c r="I31" s="47" t="s">
        <v>431</v>
      </c>
    </row>
    <row r="32" spans="1:255" s="20" customFormat="1" ht="36" x14ac:dyDescent="0.2">
      <c r="A32" s="43">
        <v>8</v>
      </c>
      <c r="B32" s="44" t="s">
        <v>264</v>
      </c>
      <c r="C32" s="44" t="s">
        <v>266</v>
      </c>
      <c r="D32" s="44" t="s">
        <v>267</v>
      </c>
      <c r="E32" s="45">
        <v>15.795</v>
      </c>
      <c r="F32" s="46">
        <f>ROUND( 70.01 * 11.25, 2 )</f>
        <v>787.61</v>
      </c>
      <c r="G32" s="46">
        <f t="shared" si="1"/>
        <v>12440.3</v>
      </c>
      <c r="H32" s="47" t="s">
        <v>462</v>
      </c>
      <c r="I32" s="47" t="s">
        <v>431</v>
      </c>
    </row>
    <row r="33" spans="1:255" s="20" customFormat="1" ht="24" x14ac:dyDescent="0.2">
      <c r="A33" s="43">
        <v>9</v>
      </c>
      <c r="B33" s="44" t="s">
        <v>285</v>
      </c>
      <c r="C33" s="44" t="s">
        <v>287</v>
      </c>
      <c r="D33" s="44" t="s">
        <v>267</v>
      </c>
      <c r="E33" s="45">
        <v>54.156196000000008</v>
      </c>
      <c r="F33" s="46">
        <f>ROUND( 115.4 * 11.25, 2 )</f>
        <v>1298.25</v>
      </c>
      <c r="G33" s="46">
        <f t="shared" si="1"/>
        <v>70308.28</v>
      </c>
      <c r="H33" s="47" t="s">
        <v>466</v>
      </c>
      <c r="I33" s="47" t="s">
        <v>431</v>
      </c>
    </row>
    <row r="34" spans="1:255" s="20" customFormat="1" ht="24" x14ac:dyDescent="0.2">
      <c r="A34" s="43">
        <v>10</v>
      </c>
      <c r="B34" s="44" t="s">
        <v>303</v>
      </c>
      <c r="C34" s="44" t="s">
        <v>305</v>
      </c>
      <c r="D34" s="44" t="s">
        <v>267</v>
      </c>
      <c r="E34" s="45">
        <v>97.156863099999995</v>
      </c>
      <c r="F34" s="46">
        <f>ROUND( 0.9 * 11.25, 2 )</f>
        <v>10.130000000000001</v>
      </c>
      <c r="G34" s="46">
        <f t="shared" si="1"/>
        <v>984.2</v>
      </c>
      <c r="H34" s="47" t="s">
        <v>468</v>
      </c>
      <c r="I34" s="47" t="s">
        <v>431</v>
      </c>
    </row>
    <row r="35" spans="1:255" s="20" customFormat="1" ht="24" x14ac:dyDescent="0.2">
      <c r="A35" s="43">
        <v>11</v>
      </c>
      <c r="B35" s="44" t="s">
        <v>306</v>
      </c>
      <c r="C35" s="44" t="s">
        <v>308</v>
      </c>
      <c r="D35" s="44" t="s">
        <v>267</v>
      </c>
      <c r="E35" s="45">
        <v>97.156863099999995</v>
      </c>
      <c r="F35" s="46">
        <f>ROUND( 6.9 * 11.25, 2 )</f>
        <v>77.63</v>
      </c>
      <c r="G35" s="46">
        <f t="shared" si="1"/>
        <v>7542.29</v>
      </c>
      <c r="H35" s="47" t="s">
        <v>469</v>
      </c>
      <c r="I35" s="47" t="s">
        <v>431</v>
      </c>
    </row>
    <row r="36" spans="1:255" s="20" customFormat="1" ht="36" x14ac:dyDescent="0.2">
      <c r="A36" s="43">
        <v>12</v>
      </c>
      <c r="B36" s="44" t="s">
        <v>277</v>
      </c>
      <c r="C36" s="44" t="s">
        <v>279</v>
      </c>
      <c r="D36" s="44" t="s">
        <v>267</v>
      </c>
      <c r="E36" s="45">
        <v>24.517499999999998</v>
      </c>
      <c r="F36" s="46">
        <f>ROUND( 0.55 * 11.25, 2 )</f>
        <v>6.19</v>
      </c>
      <c r="G36" s="46">
        <f t="shared" si="1"/>
        <v>151.76</v>
      </c>
      <c r="H36" s="47" t="s">
        <v>464</v>
      </c>
      <c r="I36" s="47" t="s">
        <v>431</v>
      </c>
    </row>
    <row r="37" spans="1:255" s="20" customFormat="1" ht="24" x14ac:dyDescent="0.2">
      <c r="A37" s="43">
        <v>13</v>
      </c>
      <c r="B37" s="44" t="s">
        <v>288</v>
      </c>
      <c r="C37" s="44" t="s">
        <v>290</v>
      </c>
      <c r="D37" s="44" t="s">
        <v>267</v>
      </c>
      <c r="E37" s="45">
        <v>54.156196000000008</v>
      </c>
      <c r="F37" s="46">
        <f>ROUND( 65.71 * 11.25, 2 )</f>
        <v>739.24</v>
      </c>
      <c r="G37" s="46">
        <f t="shared" si="1"/>
        <v>40034.43</v>
      </c>
      <c r="H37" s="47" t="s">
        <v>467</v>
      </c>
      <c r="I37" s="47" t="s">
        <v>431</v>
      </c>
    </row>
    <row r="38" spans="1:255" s="20" customFormat="1" ht="48" x14ac:dyDescent="0.2">
      <c r="A38" s="43">
        <v>14</v>
      </c>
      <c r="B38" s="44" t="s">
        <v>280</v>
      </c>
      <c r="C38" s="44" t="s">
        <v>282</v>
      </c>
      <c r="D38" s="44" t="s">
        <v>267</v>
      </c>
      <c r="E38" s="45">
        <v>6.1177000000000001</v>
      </c>
      <c r="F38" s="46">
        <f>ROUND( 90 * 11.25, 2 )</f>
        <v>1012.5</v>
      </c>
      <c r="G38" s="46">
        <f t="shared" si="1"/>
        <v>6194.17</v>
      </c>
      <c r="H38" s="47" t="s">
        <v>465</v>
      </c>
      <c r="I38" s="47" t="s">
        <v>431</v>
      </c>
    </row>
    <row r="39" spans="1:255" x14ac:dyDescent="0.2">
      <c r="A39" s="39"/>
      <c r="B39" s="39"/>
      <c r="C39" s="40" t="s">
        <v>392</v>
      </c>
      <c r="D39" s="39"/>
      <c r="E39" s="39"/>
      <c r="F39" s="39"/>
      <c r="G39" s="41">
        <f>ROUND(SUM(G31:G38),2)</f>
        <v>138914.57</v>
      </c>
      <c r="H39" s="39"/>
      <c r="I39" s="39"/>
      <c r="J39" s="18"/>
      <c r="K39" s="18"/>
      <c r="L39" s="38">
        <f>G39</f>
        <v>138914.57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</row>
    <row r="40" spans="1:255" x14ac:dyDescent="0.2">
      <c r="A40" s="39"/>
      <c r="B40" s="39"/>
      <c r="C40" s="39"/>
      <c r="D40" s="39"/>
      <c r="E40" s="39"/>
      <c r="F40" s="39"/>
      <c r="G40" s="39"/>
      <c r="H40" s="39"/>
      <c r="I40" s="39"/>
    </row>
    <row r="41" spans="1:255" x14ac:dyDescent="0.2">
      <c r="A41" s="42"/>
      <c r="B41" s="42" t="s">
        <v>429</v>
      </c>
      <c r="C41" s="42"/>
      <c r="D41" s="42"/>
      <c r="E41" s="42"/>
      <c r="F41" s="42"/>
      <c r="G41" s="39"/>
      <c r="H41" s="39"/>
      <c r="I41" s="39"/>
    </row>
    <row r="42" spans="1:255" s="20" customFormat="1" ht="24" x14ac:dyDescent="0.2">
      <c r="A42" s="43">
        <v>15</v>
      </c>
      <c r="B42" s="44" t="s">
        <v>329</v>
      </c>
      <c r="C42" s="44" t="s">
        <v>331</v>
      </c>
      <c r="D42" s="44" t="s">
        <v>299</v>
      </c>
      <c r="E42" s="45">
        <v>1.6E-2</v>
      </c>
      <c r="F42" s="46">
        <f>ROUND( 4488.4 * 5.09, 2 )</f>
        <v>22845.96</v>
      </c>
      <c r="G42" s="46">
        <f t="shared" ref="G42:G59" si="2">ROUND(E42*F42,2)</f>
        <v>365.54</v>
      </c>
      <c r="H42" s="47" t="s">
        <v>440</v>
      </c>
      <c r="I42" s="47" t="s">
        <v>431</v>
      </c>
    </row>
    <row r="43" spans="1:255" s="20" customFormat="1" ht="24" x14ac:dyDescent="0.2">
      <c r="A43" s="43">
        <v>16</v>
      </c>
      <c r="B43" s="44" t="s">
        <v>296</v>
      </c>
      <c r="C43" s="44" t="s">
        <v>298</v>
      </c>
      <c r="D43" s="44" t="s">
        <v>299</v>
      </c>
      <c r="E43" s="45">
        <v>1.6000000000000001E-4</v>
      </c>
      <c r="F43" s="46">
        <f>ROUND( 4770 * 5.09, 2 )</f>
        <v>24279.3</v>
      </c>
      <c r="G43" s="46">
        <f t="shared" si="2"/>
        <v>3.88</v>
      </c>
      <c r="H43" s="47" t="s">
        <v>432</v>
      </c>
      <c r="I43" s="47" t="s">
        <v>431</v>
      </c>
    </row>
    <row r="44" spans="1:255" s="20" customFormat="1" ht="24" x14ac:dyDescent="0.2">
      <c r="A44" s="43">
        <v>17</v>
      </c>
      <c r="B44" s="44" t="s">
        <v>332</v>
      </c>
      <c r="C44" s="44" t="s">
        <v>334</v>
      </c>
      <c r="D44" s="44" t="s">
        <v>299</v>
      </c>
      <c r="E44" s="45">
        <v>4.0000000000000002E-4</v>
      </c>
      <c r="F44" s="46">
        <f>ROUND( 8105.71 * 5.09, 2 )</f>
        <v>41258.06</v>
      </c>
      <c r="G44" s="46">
        <f t="shared" si="2"/>
        <v>16.5</v>
      </c>
      <c r="H44" s="47" t="s">
        <v>441</v>
      </c>
      <c r="I44" s="47" t="s">
        <v>431</v>
      </c>
    </row>
    <row r="45" spans="1:255" s="20" customFormat="1" ht="24" x14ac:dyDescent="0.2">
      <c r="A45" s="43">
        <v>18</v>
      </c>
      <c r="B45" s="44" t="s">
        <v>309</v>
      </c>
      <c r="C45" s="44" t="s">
        <v>311</v>
      </c>
      <c r="D45" s="44" t="s">
        <v>312</v>
      </c>
      <c r="E45" s="45">
        <v>2.7388236999999998</v>
      </c>
      <c r="F45" s="46">
        <f>ROUND( 6.9 * 5.09, 2 )</f>
        <v>35.119999999999997</v>
      </c>
      <c r="G45" s="46">
        <f t="shared" si="2"/>
        <v>96.19</v>
      </c>
      <c r="H45" s="47" t="s">
        <v>434</v>
      </c>
      <c r="I45" s="47" t="s">
        <v>431</v>
      </c>
    </row>
    <row r="46" spans="1:255" s="20" customFormat="1" ht="48" x14ac:dyDescent="0.2">
      <c r="A46" s="43">
        <v>19</v>
      </c>
      <c r="B46" s="44" t="s">
        <v>43</v>
      </c>
      <c r="C46" s="44" t="s">
        <v>44</v>
      </c>
      <c r="D46" s="44" t="s">
        <v>45</v>
      </c>
      <c r="E46" s="45">
        <v>117.5</v>
      </c>
      <c r="F46" s="46">
        <f>ROUND( 55.26 * 5.09, 2 )</f>
        <v>281.27</v>
      </c>
      <c r="G46" s="46">
        <f t="shared" si="2"/>
        <v>33049.230000000003</v>
      </c>
      <c r="H46" s="47" t="s">
        <v>443</v>
      </c>
      <c r="I46" s="47" t="s">
        <v>431</v>
      </c>
    </row>
    <row r="47" spans="1:255" s="20" customFormat="1" ht="36" x14ac:dyDescent="0.2">
      <c r="A47" s="43">
        <v>20</v>
      </c>
      <c r="B47" s="44" t="s">
        <v>319</v>
      </c>
      <c r="C47" s="44" t="s">
        <v>321</v>
      </c>
      <c r="D47" s="44" t="s">
        <v>299</v>
      </c>
      <c r="E47" s="45">
        <v>2.15687E-2</v>
      </c>
      <c r="F47" s="46">
        <f>ROUND( 5000 * 5.09, 2 )</f>
        <v>25450</v>
      </c>
      <c r="G47" s="46">
        <f t="shared" si="2"/>
        <v>548.91999999999996</v>
      </c>
      <c r="H47" s="47" t="s">
        <v>437</v>
      </c>
      <c r="I47" s="47" t="s">
        <v>431</v>
      </c>
    </row>
    <row r="48" spans="1:255" s="20" customFormat="1" ht="24" x14ac:dyDescent="0.2">
      <c r="A48" s="43">
        <v>21</v>
      </c>
      <c r="B48" s="44" t="s">
        <v>322</v>
      </c>
      <c r="C48" s="44" t="s">
        <v>324</v>
      </c>
      <c r="D48" s="44" t="s">
        <v>299</v>
      </c>
      <c r="E48" s="45">
        <v>0.21568619999999999</v>
      </c>
      <c r="F48" s="46">
        <f>ROUND( 5763 * 5.09, 2 )</f>
        <v>29333.67</v>
      </c>
      <c r="G48" s="46">
        <f t="shared" si="2"/>
        <v>6326.87</v>
      </c>
      <c r="H48" s="47" t="s">
        <v>438</v>
      </c>
      <c r="I48" s="47" t="s">
        <v>431</v>
      </c>
    </row>
    <row r="49" spans="1:255" s="20" customFormat="1" ht="24" x14ac:dyDescent="0.2">
      <c r="A49" s="43">
        <v>22</v>
      </c>
      <c r="B49" s="44" t="s">
        <v>313</v>
      </c>
      <c r="C49" s="44" t="s">
        <v>315</v>
      </c>
      <c r="D49" s="44" t="s">
        <v>299</v>
      </c>
      <c r="E49" s="45">
        <v>9.8039999999999998E-4</v>
      </c>
      <c r="F49" s="46">
        <f>ROUND( 68050 * 5.09, 2 )</f>
        <v>346374.5</v>
      </c>
      <c r="G49" s="46">
        <f t="shared" si="2"/>
        <v>339.59</v>
      </c>
      <c r="H49" s="47" t="s">
        <v>435</v>
      </c>
      <c r="I49" s="47" t="s">
        <v>431</v>
      </c>
    </row>
    <row r="50" spans="1:255" s="20" customFormat="1" ht="36" x14ac:dyDescent="0.2">
      <c r="A50" s="43">
        <v>23</v>
      </c>
      <c r="B50" s="44" t="s">
        <v>300</v>
      </c>
      <c r="C50" s="44" t="s">
        <v>302</v>
      </c>
      <c r="D50" s="44" t="s">
        <v>45</v>
      </c>
      <c r="E50" s="45">
        <v>1.6E-2</v>
      </c>
      <c r="F50" s="46">
        <f>ROUND( 802.46 * 5.09, 2 )</f>
        <v>4084.52</v>
      </c>
      <c r="G50" s="46">
        <f t="shared" si="2"/>
        <v>65.349999999999994</v>
      </c>
      <c r="H50" s="47" t="s">
        <v>433</v>
      </c>
      <c r="I50" s="47" t="s">
        <v>431</v>
      </c>
    </row>
    <row r="51" spans="1:255" s="20" customFormat="1" ht="24" x14ac:dyDescent="0.2">
      <c r="A51" s="43">
        <v>24</v>
      </c>
      <c r="B51" s="44" t="s">
        <v>325</v>
      </c>
      <c r="C51" s="44" t="s">
        <v>327</v>
      </c>
      <c r="D51" s="44" t="s">
        <v>328</v>
      </c>
      <c r="E51" s="45">
        <v>5.3921567999999995</v>
      </c>
      <c r="F51" s="46">
        <f>ROUND( 28.6 * 5.09, 2 )</f>
        <v>145.57</v>
      </c>
      <c r="G51" s="46">
        <f t="shared" si="2"/>
        <v>784.94</v>
      </c>
      <c r="H51" s="47" t="s">
        <v>439</v>
      </c>
      <c r="I51" s="47" t="s">
        <v>431</v>
      </c>
    </row>
    <row r="52" spans="1:255" s="20" customFormat="1" ht="24" x14ac:dyDescent="0.2">
      <c r="A52" s="43">
        <v>25</v>
      </c>
      <c r="B52" s="44" t="s">
        <v>316</v>
      </c>
      <c r="C52" s="44" t="s">
        <v>318</v>
      </c>
      <c r="D52" s="44" t="s">
        <v>299</v>
      </c>
      <c r="E52" s="45">
        <v>1.4116999999999999E-3</v>
      </c>
      <c r="F52" s="46">
        <f>ROUND( 7826.9 * 5.09, 2 )</f>
        <v>39838.92</v>
      </c>
      <c r="G52" s="46">
        <f t="shared" si="2"/>
        <v>56.24</v>
      </c>
      <c r="H52" s="47" t="s">
        <v>436</v>
      </c>
      <c r="I52" s="47" t="s">
        <v>431</v>
      </c>
    </row>
    <row r="53" spans="1:255" s="20" customFormat="1" ht="24" x14ac:dyDescent="0.2">
      <c r="A53" s="43">
        <v>26</v>
      </c>
      <c r="B53" s="44" t="s">
        <v>335</v>
      </c>
      <c r="C53" s="44" t="s">
        <v>337</v>
      </c>
      <c r="D53" s="44" t="s">
        <v>338</v>
      </c>
      <c r="E53" s="45">
        <v>0.62</v>
      </c>
      <c r="F53" s="46">
        <f>ROUND( 3120 * 5.09, 2 )</f>
        <v>15880.8</v>
      </c>
      <c r="G53" s="46">
        <f t="shared" si="2"/>
        <v>9846.1</v>
      </c>
      <c r="H53" s="47" t="s">
        <v>442</v>
      </c>
      <c r="I53" s="47" t="s">
        <v>431</v>
      </c>
    </row>
    <row r="54" spans="1:255" s="20" customFormat="1" ht="24" x14ac:dyDescent="0.2">
      <c r="A54" s="43">
        <v>27</v>
      </c>
      <c r="B54" s="44" t="s">
        <v>118</v>
      </c>
      <c r="C54" s="44" t="s">
        <v>119</v>
      </c>
      <c r="D54" s="44" t="s">
        <v>120</v>
      </c>
      <c r="E54" s="45">
        <v>0.70499999999999996</v>
      </c>
      <c r="F54" s="46">
        <f>ROUND( 332014.75 * 5.09, 2 )</f>
        <v>1689955.08</v>
      </c>
      <c r="G54" s="46">
        <f t="shared" si="2"/>
        <v>1191418.33</v>
      </c>
      <c r="H54" s="47" t="s">
        <v>446</v>
      </c>
      <c r="I54" s="47" t="s">
        <v>431</v>
      </c>
    </row>
    <row r="55" spans="1:255" s="20" customFormat="1" ht="36" x14ac:dyDescent="0.2">
      <c r="A55" s="43">
        <v>28</v>
      </c>
      <c r="B55" s="44" t="s">
        <v>98</v>
      </c>
      <c r="C55" s="44" t="s">
        <v>99</v>
      </c>
      <c r="D55" s="44" t="s">
        <v>95</v>
      </c>
      <c r="E55" s="45">
        <v>200</v>
      </c>
      <c r="F55" s="46">
        <f>ROUND( 131.7 * 5.09, 2 )</f>
        <v>670.35</v>
      </c>
      <c r="G55" s="46">
        <f t="shared" si="2"/>
        <v>134070</v>
      </c>
      <c r="H55" s="47" t="s">
        <v>445</v>
      </c>
      <c r="I55" s="47" t="s">
        <v>431</v>
      </c>
    </row>
    <row r="56" spans="1:255" s="20" customFormat="1" ht="24" x14ac:dyDescent="0.2">
      <c r="A56" s="43">
        <v>29</v>
      </c>
      <c r="B56" s="44" t="s">
        <v>291</v>
      </c>
      <c r="C56" s="44" t="s">
        <v>292</v>
      </c>
      <c r="D56" s="44" t="s">
        <v>293</v>
      </c>
      <c r="E56" s="45">
        <v>131.44020619999998</v>
      </c>
      <c r="F56" s="46">
        <f>ROUND( 1 * 5.09, 2 )</f>
        <v>5.09</v>
      </c>
      <c r="G56" s="46">
        <f t="shared" si="2"/>
        <v>669.03</v>
      </c>
      <c r="H56" s="47" t="s">
        <v>430</v>
      </c>
      <c r="I56" s="47" t="s">
        <v>431</v>
      </c>
    </row>
    <row r="57" spans="1:255" s="20" customFormat="1" ht="24" x14ac:dyDescent="0.2">
      <c r="A57" s="43">
        <v>30</v>
      </c>
      <c r="B57" s="44" t="s">
        <v>126</v>
      </c>
      <c r="C57" s="44" t="s">
        <v>127</v>
      </c>
      <c r="D57" s="44" t="s">
        <v>95</v>
      </c>
      <c r="E57" s="45">
        <v>1695</v>
      </c>
      <c r="F57" s="46">
        <f>ROUND( 1270.76, 2 )</f>
        <v>1270.76</v>
      </c>
      <c r="G57" s="46">
        <f t="shared" si="2"/>
        <v>2153938.2000000002</v>
      </c>
      <c r="H57" s="48" t="s">
        <v>447</v>
      </c>
      <c r="I57" s="48" t="s">
        <v>431</v>
      </c>
    </row>
    <row r="58" spans="1:255" s="20" customFormat="1" ht="36" x14ac:dyDescent="0.2">
      <c r="A58" s="43">
        <v>31</v>
      </c>
      <c r="B58" s="44" t="s">
        <v>73</v>
      </c>
      <c r="C58" s="44" t="s">
        <v>74</v>
      </c>
      <c r="D58" s="44" t="s">
        <v>75</v>
      </c>
      <c r="E58" s="45">
        <v>11.234999999999999</v>
      </c>
      <c r="F58" s="46">
        <f>ROUND( 16065, 2 )</f>
        <v>16065</v>
      </c>
      <c r="G58" s="46">
        <f t="shared" si="2"/>
        <v>180490.28</v>
      </c>
      <c r="H58" s="48" t="s">
        <v>444</v>
      </c>
      <c r="I58" s="48" t="s">
        <v>431</v>
      </c>
    </row>
    <row r="59" spans="1:255" s="20" customFormat="1" ht="36" x14ac:dyDescent="0.2">
      <c r="A59" s="43">
        <v>32</v>
      </c>
      <c r="B59" s="44" t="s">
        <v>73</v>
      </c>
      <c r="C59" s="44" t="s">
        <v>138</v>
      </c>
      <c r="D59" s="44" t="s">
        <v>139</v>
      </c>
      <c r="E59" s="45">
        <v>20</v>
      </c>
      <c r="F59" s="46">
        <f>ROUND( 6786.13, 2 )</f>
        <v>6786.13</v>
      </c>
      <c r="G59" s="46">
        <f t="shared" si="2"/>
        <v>135722.6</v>
      </c>
      <c r="H59" s="48" t="s">
        <v>448</v>
      </c>
      <c r="I59" s="48" t="s">
        <v>431</v>
      </c>
    </row>
    <row r="60" spans="1:255" x14ac:dyDescent="0.2">
      <c r="A60" s="39"/>
      <c r="B60" s="39"/>
      <c r="C60" s="40" t="s">
        <v>392</v>
      </c>
      <c r="D60" s="39"/>
      <c r="E60" s="39"/>
      <c r="F60" s="39"/>
      <c r="G60" s="41">
        <f>ROUND(SUM(G42:G59),2)</f>
        <v>3847807.79</v>
      </c>
      <c r="H60" s="39"/>
      <c r="I60" s="39"/>
      <c r="J60" s="18"/>
      <c r="K60" s="18"/>
      <c r="L60" s="18"/>
      <c r="M60" s="38">
        <f>G60</f>
        <v>3847807.79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</row>
    <row r="62" spans="1:255" x14ac:dyDescent="0.2">
      <c r="C62" s="36" t="s">
        <v>193</v>
      </c>
      <c r="G62" s="37">
        <f>ROUND(SUM(K21:K62) + SUM(L21:L62) + SUM(M21:M62),2)</f>
        <v>4278736.4400000004</v>
      </c>
    </row>
    <row r="63" spans="1:255" x14ac:dyDescent="0.2">
      <c r="C63" s="58" t="s">
        <v>470</v>
      </c>
      <c r="G63" s="37"/>
    </row>
    <row r="64" spans="1:255" x14ac:dyDescent="0.2">
      <c r="C64" s="58" t="s">
        <v>379</v>
      </c>
      <c r="G64" s="37">
        <f>ROUND(SUM(K21:K64),2)</f>
        <v>292014.08000000002</v>
      </c>
    </row>
    <row r="65" spans="1:255" x14ac:dyDescent="0.2">
      <c r="C65" s="58" t="s">
        <v>391</v>
      </c>
      <c r="G65" s="37">
        <f>ROUND(SUM(L21:L65),2)</f>
        <v>138914.57</v>
      </c>
    </row>
    <row r="66" spans="1:255" x14ac:dyDescent="0.2">
      <c r="C66" s="58" t="s">
        <v>471</v>
      </c>
      <c r="G66" s="37">
        <f>ROUND(SUM(M21:M66),2)</f>
        <v>3847807.79</v>
      </c>
    </row>
    <row r="68" spans="1:255" ht="22.5" x14ac:dyDescent="0.2">
      <c r="A68" s="25" t="s">
        <v>397</v>
      </c>
      <c r="B68" s="25"/>
      <c r="C68" s="50" t="s">
        <v>398</v>
      </c>
      <c r="D68" s="26"/>
      <c r="E68" s="26"/>
      <c r="F68" s="128" t="s">
        <v>399</v>
      </c>
      <c r="G68" s="128"/>
      <c r="BY68" s="27" t="str">
        <f>C68</f>
        <v>Ведущий инженер-сметчик СРС ООО "ОДСК-Инжиниринг"</v>
      </c>
      <c r="BZ68" s="27" t="str">
        <f>F68</f>
        <v>Мамаева Е.М.</v>
      </c>
      <c r="IU68" s="18"/>
    </row>
    <row r="69" spans="1:255" s="52" customFormat="1" ht="11.25" x14ac:dyDescent="0.2">
      <c r="A69" s="51"/>
      <c r="B69" s="51"/>
      <c r="C69" s="129" t="s">
        <v>394</v>
      </c>
      <c r="D69" s="129"/>
      <c r="E69" s="129"/>
      <c r="F69" s="129" t="s">
        <v>395</v>
      </c>
      <c r="G69" s="129"/>
    </row>
    <row r="70" spans="1:255" x14ac:dyDescent="0.2">
      <c r="A70" s="13"/>
      <c r="B70" s="13"/>
      <c r="C70" s="13"/>
      <c r="D70" s="9" t="s">
        <v>396</v>
      </c>
      <c r="E70" s="13"/>
      <c r="F70" s="13"/>
      <c r="G70" s="13"/>
    </row>
    <row r="71" spans="1:255" ht="22.5" x14ac:dyDescent="0.2">
      <c r="A71" s="25" t="s">
        <v>400</v>
      </c>
      <c r="B71" s="25"/>
      <c r="C71" s="50" t="s">
        <v>401</v>
      </c>
      <c r="D71" s="26"/>
      <c r="E71" s="26"/>
      <c r="F71" s="128" t="s">
        <v>402</v>
      </c>
      <c r="G71" s="128"/>
      <c r="BY71" s="27" t="str">
        <f>C71</f>
        <v>Главный инженер-сметчик СРС ООО "ОДСК-Инжиниринг"</v>
      </c>
      <c r="BZ71" s="27" t="str">
        <f>F71</f>
        <v>Кузнецова У.И.</v>
      </c>
      <c r="IU71" s="18"/>
    </row>
    <row r="72" spans="1:255" s="52" customFormat="1" ht="11.25" x14ac:dyDescent="0.2">
      <c r="A72" s="51"/>
      <c r="B72" s="51"/>
      <c r="C72" s="129" t="s">
        <v>394</v>
      </c>
      <c r="D72" s="129"/>
      <c r="E72" s="129"/>
      <c r="F72" s="129" t="s">
        <v>395</v>
      </c>
      <c r="G72" s="129"/>
    </row>
    <row r="73" spans="1:255" x14ac:dyDescent="0.2">
      <c r="A73" s="13"/>
      <c r="B73" s="13"/>
      <c r="C73" s="13"/>
      <c r="D73" s="9" t="s">
        <v>396</v>
      </c>
      <c r="E73" s="13"/>
      <c r="F73" s="13"/>
      <c r="G73" s="13"/>
    </row>
    <row r="74" spans="1:255" x14ac:dyDescent="0.2">
      <c r="A74" s="25" t="s">
        <v>372</v>
      </c>
      <c r="B74" s="25"/>
      <c r="C74" s="50" t="s">
        <v>403</v>
      </c>
      <c r="D74" s="26"/>
      <c r="E74" s="26"/>
      <c r="F74" s="128" t="s">
        <v>404</v>
      </c>
      <c r="G74" s="128"/>
      <c r="BY74" s="27" t="str">
        <f>C74</f>
        <v>Руководитель ПТС ООО "ОСУ-2"</v>
      </c>
      <c r="BZ74" s="27" t="str">
        <f>F74</f>
        <v>Когтев В.И.</v>
      </c>
      <c r="IU74" s="18"/>
    </row>
    <row r="75" spans="1:255" s="52" customFormat="1" ht="11.25" x14ac:dyDescent="0.2">
      <c r="A75" s="51"/>
      <c r="B75" s="51"/>
      <c r="C75" s="129" t="s">
        <v>394</v>
      </c>
      <c r="D75" s="129"/>
      <c r="E75" s="129"/>
      <c r="F75" s="129" t="s">
        <v>395</v>
      </c>
      <c r="G75" s="129"/>
    </row>
    <row r="76" spans="1:255" x14ac:dyDescent="0.2">
      <c r="A76" s="13"/>
      <c r="B76" s="13"/>
      <c r="C76" s="13"/>
      <c r="D76" s="9" t="s">
        <v>396</v>
      </c>
      <c r="E76" s="13"/>
      <c r="F76" s="13"/>
      <c r="G76" s="13"/>
    </row>
  </sheetData>
  <sortState ref="A42:IU59">
    <sortCondition ref="B42"/>
    <sortCondition ref="C42"/>
  </sortState>
  <mergeCells count="21"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  <mergeCell ref="F74:G74"/>
    <mergeCell ref="C75:E75"/>
    <mergeCell ref="F75:G75"/>
    <mergeCell ref="F68:G68"/>
    <mergeCell ref="C69:E69"/>
    <mergeCell ref="F69:G69"/>
    <mergeCell ref="F71:G71"/>
    <mergeCell ref="C72:E72"/>
    <mergeCell ref="F72:G7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0"/>
  <sheetViews>
    <sheetView workbookViewId="0">
      <selection sqref="A1:G1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2" customFormat="1" ht="11.25" x14ac:dyDescent="0.2">
      <c r="A1" s="149" t="s">
        <v>369</v>
      </c>
      <c r="B1" s="149"/>
      <c r="C1" s="149"/>
      <c r="D1" s="149"/>
      <c r="E1" s="149"/>
      <c r="F1" s="149"/>
      <c r="G1" s="149"/>
    </row>
    <row r="3" spans="1:255" x14ac:dyDescent="0.2">
      <c r="A3" s="15" t="s">
        <v>370</v>
      </c>
      <c r="B3" s="14"/>
      <c r="C3" s="139"/>
      <c r="D3" s="140"/>
      <c r="E3" s="140"/>
      <c r="F3" s="140"/>
      <c r="G3" s="140"/>
      <c r="BR3" s="17">
        <f>C3</f>
        <v>0</v>
      </c>
      <c r="IU3" s="18"/>
    </row>
    <row r="4" spans="1:255" x14ac:dyDescent="0.2">
      <c r="A4" s="15" t="s">
        <v>371</v>
      </c>
      <c r="B4" s="14"/>
      <c r="C4" s="141"/>
      <c r="D4" s="142"/>
      <c r="E4" s="142"/>
      <c r="F4" s="142"/>
      <c r="G4" s="142"/>
      <c r="BR4" s="17">
        <f>C4</f>
        <v>0</v>
      </c>
      <c r="IU4" s="18"/>
    </row>
    <row r="5" spans="1:255" x14ac:dyDescent="0.2">
      <c r="A5" s="15" t="s">
        <v>372</v>
      </c>
      <c r="B5" s="14"/>
      <c r="C5" s="141"/>
      <c r="D5" s="142"/>
      <c r="E5" s="142"/>
      <c r="F5" s="142"/>
      <c r="G5" s="142"/>
      <c r="BR5" s="17">
        <f>C5</f>
        <v>0</v>
      </c>
      <c r="IU5" s="18"/>
    </row>
    <row r="6" spans="1:255" x14ac:dyDescent="0.2">
      <c r="A6" s="15" t="s">
        <v>373</v>
      </c>
      <c r="B6" s="14"/>
      <c r="C6" s="143"/>
      <c r="D6" s="144"/>
      <c r="E6" s="144"/>
      <c r="F6" s="144"/>
      <c r="G6" s="144"/>
      <c r="BR6" s="17">
        <f>C6</f>
        <v>0</v>
      </c>
      <c r="IU6" s="18"/>
    </row>
    <row r="7" spans="1:255" x14ac:dyDescent="0.2">
      <c r="A7" s="145"/>
      <c r="B7" s="145"/>
      <c r="C7" s="145"/>
      <c r="D7" s="145"/>
      <c r="E7" s="145"/>
      <c r="F7" s="145"/>
      <c r="G7" s="145"/>
    </row>
    <row r="8" spans="1:255" ht="18.75" x14ac:dyDescent="0.3">
      <c r="A8" s="146" t="s">
        <v>407</v>
      </c>
      <c r="B8" s="146"/>
      <c r="C8" s="146"/>
      <c r="D8" s="146"/>
      <c r="E8" s="146"/>
      <c r="F8" s="146"/>
      <c r="G8" s="146"/>
    </row>
    <row r="9" spans="1:255" x14ac:dyDescent="0.2">
      <c r="A9" s="147" t="s">
        <v>450</v>
      </c>
      <c r="B9" s="147"/>
      <c r="C9" s="147"/>
      <c r="D9" s="147"/>
      <c r="E9" s="147"/>
      <c r="F9" s="147"/>
      <c r="G9" s="147"/>
    </row>
    <row r="10" spans="1:255" x14ac:dyDescent="0.2">
      <c r="A10" s="147"/>
      <c r="B10" s="147"/>
      <c r="C10" s="147"/>
      <c r="D10" s="147"/>
      <c r="E10" s="147"/>
      <c r="F10" s="147"/>
      <c r="G10" s="147"/>
    </row>
    <row r="11" spans="1:255" ht="31.5" x14ac:dyDescent="0.25">
      <c r="A11" s="11" t="s">
        <v>374</v>
      </c>
      <c r="B11" s="137" t="s">
        <v>4</v>
      </c>
      <c r="C11" s="137"/>
      <c r="D11" s="137"/>
      <c r="E11" s="137"/>
      <c r="F11" s="137"/>
      <c r="G11" s="137"/>
      <c r="BS11" s="28" t="str">
        <f>B11</f>
        <v>Внеплощадочные сети инженерного обеспечения квартала "Зеленые холмы" г. Калуга.</v>
      </c>
      <c r="IU11" s="18"/>
    </row>
    <row r="13" spans="1:255" x14ac:dyDescent="0.2">
      <c r="A13" s="11" t="s">
        <v>376</v>
      </c>
    </row>
    <row r="14" spans="1:255" x14ac:dyDescent="0.2">
      <c r="A14" s="11" t="s">
        <v>377</v>
      </c>
    </row>
    <row r="15" spans="1:255" x14ac:dyDescent="0.2">
      <c r="A15" s="29" t="s">
        <v>410</v>
      </c>
      <c r="B15" s="29" t="s">
        <v>412</v>
      </c>
      <c r="C15" s="29" t="s">
        <v>415</v>
      </c>
      <c r="D15" s="29" t="s">
        <v>417</v>
      </c>
      <c r="E15" s="29" t="s">
        <v>420</v>
      </c>
      <c r="F15" s="29" t="s">
        <v>422</v>
      </c>
      <c r="G15" s="29" t="s">
        <v>424</v>
      </c>
      <c r="H15" s="29" t="s">
        <v>426</v>
      </c>
      <c r="I15" s="30" t="s">
        <v>393</v>
      </c>
    </row>
    <row r="16" spans="1:255" x14ac:dyDescent="0.2">
      <c r="A16" s="31" t="s">
        <v>411</v>
      </c>
      <c r="B16" s="31" t="s">
        <v>413</v>
      </c>
      <c r="C16" s="31" t="s">
        <v>416</v>
      </c>
      <c r="D16" s="31" t="s">
        <v>418</v>
      </c>
      <c r="E16" s="31" t="s">
        <v>421</v>
      </c>
      <c r="F16" s="31" t="s">
        <v>423</v>
      </c>
      <c r="G16" s="31" t="s">
        <v>425</v>
      </c>
      <c r="H16" s="31" t="s">
        <v>427</v>
      </c>
      <c r="I16" s="32" t="s">
        <v>388</v>
      </c>
    </row>
    <row r="17" spans="1:255" x14ac:dyDescent="0.2">
      <c r="A17" s="31"/>
      <c r="B17" s="31" t="s">
        <v>414</v>
      </c>
      <c r="C17" s="31"/>
      <c r="D17" s="31" t="s">
        <v>419</v>
      </c>
      <c r="E17" s="31"/>
      <c r="F17" s="31"/>
      <c r="G17" s="31" t="s">
        <v>423</v>
      </c>
      <c r="H17" s="31" t="s">
        <v>428</v>
      </c>
      <c r="I17" s="32"/>
    </row>
    <row r="18" spans="1:255" x14ac:dyDescent="0.2">
      <c r="A18" s="33">
        <v>1</v>
      </c>
      <c r="B18" s="33">
        <v>2</v>
      </c>
      <c r="C18" s="33">
        <v>3</v>
      </c>
      <c r="D18" s="33">
        <v>4</v>
      </c>
      <c r="E18" s="33">
        <v>5</v>
      </c>
      <c r="F18" s="33">
        <v>6</v>
      </c>
      <c r="G18" s="33">
        <v>7</v>
      </c>
      <c r="H18" s="33">
        <v>8</v>
      </c>
      <c r="I18" s="34">
        <v>9</v>
      </c>
    </row>
    <row r="20" spans="1:255" x14ac:dyDescent="0.2">
      <c r="C20" t="s">
        <v>451</v>
      </c>
    </row>
    <row r="22" spans="1:255" ht="22.5" x14ac:dyDescent="0.2">
      <c r="A22" s="25" t="s">
        <v>397</v>
      </c>
      <c r="B22" s="25"/>
      <c r="C22" s="50" t="s">
        <v>398</v>
      </c>
      <c r="D22" s="26"/>
      <c r="E22" s="26"/>
      <c r="F22" s="128" t="s">
        <v>399</v>
      </c>
      <c r="G22" s="128"/>
      <c r="BY22" s="27" t="str">
        <f>C22</f>
        <v>Ведущий инженер-сметчик СРС ООО "ОДСК-Инжиниринг"</v>
      </c>
      <c r="BZ22" s="27" t="str">
        <f>F22</f>
        <v>Мамаева Е.М.</v>
      </c>
      <c r="IU22" s="18"/>
    </row>
    <row r="23" spans="1:255" s="52" customFormat="1" ht="11.25" x14ac:dyDescent="0.2">
      <c r="A23" s="51"/>
      <c r="B23" s="51"/>
      <c r="C23" s="129" t="s">
        <v>394</v>
      </c>
      <c r="D23" s="129"/>
      <c r="E23" s="129"/>
      <c r="F23" s="129" t="s">
        <v>395</v>
      </c>
      <c r="G23" s="129"/>
    </row>
    <row r="24" spans="1:255" x14ac:dyDescent="0.2">
      <c r="A24" s="13"/>
      <c r="B24" s="13"/>
      <c r="C24" s="13"/>
      <c r="D24" s="9" t="s">
        <v>396</v>
      </c>
      <c r="E24" s="13"/>
      <c r="F24" s="13"/>
      <c r="G24" s="13"/>
    </row>
    <row r="25" spans="1:255" ht="22.5" x14ac:dyDescent="0.2">
      <c r="A25" s="25" t="s">
        <v>400</v>
      </c>
      <c r="B25" s="25"/>
      <c r="C25" s="50" t="s">
        <v>401</v>
      </c>
      <c r="D25" s="26"/>
      <c r="E25" s="26"/>
      <c r="F25" s="128" t="s">
        <v>402</v>
      </c>
      <c r="G25" s="128"/>
      <c r="BY25" s="27" t="str">
        <f>C25</f>
        <v>Главный инженер-сметчик СРС ООО "ОДСК-Инжиниринг"</v>
      </c>
      <c r="BZ25" s="27" t="str">
        <f>F25</f>
        <v>Кузнецова У.И.</v>
      </c>
      <c r="IU25" s="18"/>
    </row>
    <row r="26" spans="1:255" s="52" customFormat="1" ht="11.25" x14ac:dyDescent="0.2">
      <c r="A26" s="51"/>
      <c r="B26" s="51"/>
      <c r="C26" s="129" t="s">
        <v>394</v>
      </c>
      <c r="D26" s="129"/>
      <c r="E26" s="129"/>
      <c r="F26" s="129" t="s">
        <v>395</v>
      </c>
      <c r="G26" s="129"/>
    </row>
    <row r="27" spans="1:255" x14ac:dyDescent="0.2">
      <c r="A27" s="13"/>
      <c r="B27" s="13"/>
      <c r="C27" s="13"/>
      <c r="D27" s="9" t="s">
        <v>396</v>
      </c>
      <c r="E27" s="13"/>
      <c r="F27" s="13"/>
      <c r="G27" s="13"/>
    </row>
    <row r="28" spans="1:255" x14ac:dyDescent="0.2">
      <c r="A28" s="25" t="s">
        <v>372</v>
      </c>
      <c r="B28" s="25"/>
      <c r="C28" s="50" t="s">
        <v>403</v>
      </c>
      <c r="D28" s="26"/>
      <c r="E28" s="26"/>
      <c r="F28" s="128" t="s">
        <v>404</v>
      </c>
      <c r="G28" s="128"/>
      <c r="BY28" s="27" t="str">
        <f>C28</f>
        <v>Руководитель ПТС ООО "ОСУ-2"</v>
      </c>
      <c r="BZ28" s="27" t="str">
        <f>F28</f>
        <v>Когтев В.И.</v>
      </c>
      <c r="IU28" s="18"/>
    </row>
    <row r="29" spans="1:255" s="52" customFormat="1" ht="11.25" x14ac:dyDescent="0.2">
      <c r="A29" s="51"/>
      <c r="B29" s="51"/>
      <c r="C29" s="129" t="s">
        <v>394</v>
      </c>
      <c r="D29" s="129"/>
      <c r="E29" s="129"/>
      <c r="F29" s="129" t="s">
        <v>395</v>
      </c>
      <c r="G29" s="129"/>
    </row>
    <row r="30" spans="1:255" x14ac:dyDescent="0.2">
      <c r="A30" s="13"/>
      <c r="B30" s="13"/>
      <c r="C30" s="13"/>
      <c r="D30" s="9" t="s">
        <v>396</v>
      </c>
      <c r="E30" s="13"/>
      <c r="F30" s="13"/>
      <c r="G30" s="13"/>
    </row>
  </sheetData>
  <mergeCells count="19">
    <mergeCell ref="C23:E23"/>
    <mergeCell ref="F23:G2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F22:G22"/>
    <mergeCell ref="F25:G25"/>
    <mergeCell ref="C26:E26"/>
    <mergeCell ref="F26:G26"/>
    <mergeCell ref="F28:G28"/>
    <mergeCell ref="C29:E29"/>
    <mergeCell ref="F29:G29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Q88"/>
  <sheetViews>
    <sheetView view="pageBreakPreview" topLeftCell="A55" zoomScaleNormal="100" zoomScaleSheetLayoutView="100" workbookViewId="0">
      <selection activeCell="IS34" sqref="IS34"/>
    </sheetView>
  </sheetViews>
  <sheetFormatPr defaultRowHeight="12.75" x14ac:dyDescent="0.2"/>
  <cols>
    <col min="1" max="1" width="6.7109375" customWidth="1"/>
    <col min="2" max="2" width="15.42578125" customWidth="1"/>
    <col min="3" max="3" width="52.5703125" customWidth="1"/>
    <col min="4" max="4" width="8.140625" customWidth="1"/>
    <col min="5" max="5" width="18.85546875" customWidth="1"/>
    <col min="7" max="65" width="0" hidden="1" customWidth="1"/>
    <col min="66" max="66" width="66.7109375" hidden="1" customWidth="1"/>
    <col min="67" max="67" width="76.7109375" hidden="1" customWidth="1"/>
    <col min="68" max="68" width="66.7109375" hidden="1" customWidth="1"/>
    <col min="69" max="72" width="0" hidden="1" customWidth="1"/>
    <col min="73" max="73" width="34.7109375" hidden="1" customWidth="1"/>
    <col min="74" max="74" width="17.7109375" hidden="1" customWidth="1"/>
    <col min="75" max="252" width="0" hidden="1" customWidth="1"/>
  </cols>
  <sheetData>
    <row r="1" spans="1:251" s="12" customFormat="1" ht="11.25" x14ac:dyDescent="0.2">
      <c r="A1" s="149" t="s">
        <v>369</v>
      </c>
      <c r="B1" s="149"/>
      <c r="C1" s="149"/>
      <c r="D1" s="149"/>
      <c r="E1" s="149"/>
    </row>
    <row r="2" spans="1:251" x14ac:dyDescent="0.2">
      <c r="A2" s="145"/>
      <c r="B2" s="145"/>
      <c r="C2" s="145"/>
      <c r="D2" s="145"/>
      <c r="E2" s="145"/>
    </row>
    <row r="3" spans="1:251" ht="18.75" x14ac:dyDescent="0.3">
      <c r="A3" s="146" t="s">
        <v>519</v>
      </c>
      <c r="B3" s="146"/>
      <c r="C3" s="146"/>
      <c r="D3" s="146"/>
      <c r="E3" s="146"/>
    </row>
    <row r="4" spans="1:251" x14ac:dyDescent="0.2">
      <c r="A4" s="147" t="s">
        <v>408</v>
      </c>
      <c r="B4" s="147"/>
      <c r="C4" s="147"/>
      <c r="D4" s="147"/>
      <c r="E4" s="147"/>
    </row>
    <row r="5" spans="1:251" x14ac:dyDescent="0.2">
      <c r="A5" s="147"/>
      <c r="B5" s="147"/>
      <c r="C5" s="147"/>
      <c r="D5" s="147"/>
      <c r="E5" s="147"/>
    </row>
    <row r="6" spans="1:251" ht="45" customHeight="1" x14ac:dyDescent="0.25">
      <c r="A6" s="11" t="s">
        <v>374</v>
      </c>
      <c r="B6" s="148" t="s">
        <v>4</v>
      </c>
      <c r="C6" s="148"/>
      <c r="D6" s="148"/>
      <c r="E6" s="148"/>
      <c r="BO6" s="28" t="str">
        <f>B6</f>
        <v>Внеплощадочные сети инженерного обеспечения квартала "Зеленые холмы" г. Калуга.</v>
      </c>
      <c r="IQ6" s="18"/>
    </row>
    <row r="7" spans="1:251" ht="18.75" customHeight="1" x14ac:dyDescent="0.25">
      <c r="A7" s="11" t="s">
        <v>375</v>
      </c>
      <c r="B7" s="137" t="s">
        <v>609</v>
      </c>
      <c r="C7" s="137"/>
      <c r="D7" s="137"/>
      <c r="E7" s="137"/>
      <c r="BO7" s="28" t="str">
        <f>B7</f>
        <v xml:space="preserve"> 6.4.6.2.3  Электроснабжение 10 кВ. Переустройство сетей. </v>
      </c>
      <c r="IQ7" s="18"/>
    </row>
    <row r="8" spans="1:251" x14ac:dyDescent="0.2">
      <c r="A8" s="11"/>
      <c r="B8" s="130"/>
      <c r="C8" s="131"/>
      <c r="D8" s="131"/>
      <c r="E8" s="131"/>
      <c r="BP8" s="17">
        <f>C8</f>
        <v>0</v>
      </c>
      <c r="IQ8" s="18"/>
    </row>
    <row r="10" spans="1:251" x14ac:dyDescent="0.2">
      <c r="A10" s="29" t="s">
        <v>410</v>
      </c>
      <c r="B10" s="29" t="s">
        <v>412</v>
      </c>
      <c r="C10" s="29" t="s">
        <v>415</v>
      </c>
      <c r="D10" s="29" t="s">
        <v>417</v>
      </c>
      <c r="E10" s="29" t="s">
        <v>420</v>
      </c>
    </row>
    <row r="11" spans="1:251" x14ac:dyDescent="0.2">
      <c r="A11" s="49" t="s">
        <v>411</v>
      </c>
      <c r="B11" s="49" t="s">
        <v>413</v>
      </c>
      <c r="C11" s="49" t="s">
        <v>416</v>
      </c>
      <c r="D11" s="49" t="s">
        <v>418</v>
      </c>
      <c r="E11" s="49" t="s">
        <v>421</v>
      </c>
    </row>
    <row r="12" spans="1:251" x14ac:dyDescent="0.2">
      <c r="A12" s="49"/>
      <c r="B12" s="49" t="s">
        <v>414</v>
      </c>
      <c r="C12" s="49"/>
      <c r="D12" s="49" t="s">
        <v>419</v>
      </c>
      <c r="E12" s="49"/>
    </row>
    <row r="13" spans="1:251" x14ac:dyDescent="0.2">
      <c r="A13" s="49">
        <v>1</v>
      </c>
      <c r="B13" s="49">
        <v>2</v>
      </c>
      <c r="C13" s="49">
        <v>3</v>
      </c>
      <c r="D13" s="49">
        <v>4</v>
      </c>
      <c r="E13" s="49">
        <v>5</v>
      </c>
    </row>
    <row r="14" spans="1:251" x14ac:dyDescent="0.2">
      <c r="A14" s="42"/>
      <c r="B14" s="42" t="s">
        <v>429</v>
      </c>
      <c r="C14" s="42"/>
      <c r="D14" s="42"/>
      <c r="E14" s="42"/>
    </row>
    <row r="15" spans="1:251" s="20" customFormat="1" ht="12" x14ac:dyDescent="0.2">
      <c r="A15" s="43">
        <v>1</v>
      </c>
      <c r="B15" s="44" t="s">
        <v>329</v>
      </c>
      <c r="C15" s="44" t="s">
        <v>331</v>
      </c>
      <c r="D15" s="44" t="s">
        <v>299</v>
      </c>
      <c r="E15" s="45">
        <v>1.9199999999999998E-2</v>
      </c>
      <c r="J15" s="35"/>
      <c r="K15" s="35">
        <f t="shared" ref="K15:K32" si="0">SUM(L15:IR15)</f>
        <v>1.9199999999999998E-2</v>
      </c>
      <c r="L15" s="35">
        <f>SmtRes!CX74</f>
        <v>1.9199999999999998E-2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</row>
    <row r="16" spans="1:251" s="20" customFormat="1" ht="12" x14ac:dyDescent="0.2">
      <c r="A16" s="43">
        <v>2</v>
      </c>
      <c r="B16" s="44" t="s">
        <v>296</v>
      </c>
      <c r="C16" s="44" t="s">
        <v>298</v>
      </c>
      <c r="D16" s="44" t="s">
        <v>299</v>
      </c>
      <c r="E16" s="45">
        <v>2.208E-4</v>
      </c>
      <c r="J16" s="35"/>
      <c r="K16" s="35">
        <f t="shared" si="0"/>
        <v>2.208E-4</v>
      </c>
      <c r="L16" s="35">
        <f>SmtRes!CX22</f>
        <v>2.208E-4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</row>
    <row r="17" spans="1:251" s="20" customFormat="1" ht="24" x14ac:dyDescent="0.2">
      <c r="A17" s="43">
        <v>3</v>
      </c>
      <c r="B17" s="44" t="s">
        <v>300</v>
      </c>
      <c r="C17" s="44" t="s">
        <v>302</v>
      </c>
      <c r="D17" s="44" t="s">
        <v>45</v>
      </c>
      <c r="E17" s="45">
        <v>2.2079999999999999E-2</v>
      </c>
      <c r="J17" s="35"/>
      <c r="K17" s="35">
        <f t="shared" si="0"/>
        <v>2.2079999999999999E-2</v>
      </c>
      <c r="L17" s="35">
        <f>SmtRes!CX23</f>
        <v>2.2079999999999999E-2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</row>
    <row r="18" spans="1:251" s="20" customFormat="1" ht="12" x14ac:dyDescent="0.2">
      <c r="A18" s="43">
        <v>4</v>
      </c>
      <c r="B18" s="44" t="s">
        <v>291</v>
      </c>
      <c r="C18" s="44" t="s">
        <v>292</v>
      </c>
      <c r="D18" s="44" t="s">
        <v>293</v>
      </c>
      <c r="E18" s="45">
        <v>177.01060000000001</v>
      </c>
      <c r="J18" s="35"/>
      <c r="K18" s="35">
        <f t="shared" si="0"/>
        <v>177.01060000000001</v>
      </c>
      <c r="L18" s="35">
        <f>SmtRes!CX15</f>
        <v>7.4283999999999999</v>
      </c>
      <c r="M18" s="35">
        <f>SmtRes!CX20</f>
        <v>10.557</v>
      </c>
      <c r="N18" s="35">
        <f>SmtRes!CX35</f>
        <v>5.1959999999999997</v>
      </c>
      <c r="O18" s="35">
        <f>SmtRes!CX45</f>
        <v>8.6267999999999994</v>
      </c>
      <c r="P18" s="35">
        <f>SmtRes!CX57</f>
        <v>50.183999999999997</v>
      </c>
      <c r="Q18" s="35">
        <f>SmtRes!CX69</f>
        <v>48.458399999999997</v>
      </c>
      <c r="R18" s="35">
        <f>SmtRes!CX78</f>
        <v>46.56</v>
      </c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</row>
    <row r="19" spans="1:251" s="20" customFormat="1" ht="12" x14ac:dyDescent="0.2">
      <c r="A19" s="43">
        <v>5</v>
      </c>
      <c r="B19" s="44" t="s">
        <v>335</v>
      </c>
      <c r="C19" s="44" t="s">
        <v>337</v>
      </c>
      <c r="D19" s="44" t="s">
        <v>338</v>
      </c>
      <c r="E19" s="45">
        <v>0.74399999999999999</v>
      </c>
      <c r="J19" s="35"/>
      <c r="K19" s="35">
        <f t="shared" si="0"/>
        <v>0.74399999999999999</v>
      </c>
      <c r="L19" s="35">
        <f>SmtRes!CX77</f>
        <v>0.74399999999999999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</row>
    <row r="20" spans="1:251" s="20" customFormat="1" ht="12" x14ac:dyDescent="0.2">
      <c r="A20" s="43">
        <v>6</v>
      </c>
      <c r="B20" s="44" t="s">
        <v>325</v>
      </c>
      <c r="C20" s="44" t="s">
        <v>327</v>
      </c>
      <c r="D20" s="44" t="s">
        <v>328</v>
      </c>
      <c r="E20" s="45">
        <v>7.4850000000000003</v>
      </c>
      <c r="J20" s="35"/>
      <c r="K20" s="35" t="e">
        <f t="shared" si="0"/>
        <v>#REF!</v>
      </c>
      <c r="L20" s="35" t="e">
        <f>Source!I41</f>
        <v>#REF!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</row>
    <row r="21" spans="1:251" s="20" customFormat="1" ht="12" x14ac:dyDescent="0.2">
      <c r="A21" s="43">
        <v>7</v>
      </c>
      <c r="B21" s="44" t="s">
        <v>316</v>
      </c>
      <c r="C21" s="44" t="s">
        <v>318</v>
      </c>
      <c r="D21" s="44" t="s">
        <v>299</v>
      </c>
      <c r="E21" s="45">
        <v>1.9620000000000002E-3</v>
      </c>
      <c r="J21" s="35"/>
      <c r="K21" s="35" t="e">
        <f t="shared" si="0"/>
        <v>#REF!</v>
      </c>
      <c r="L21" s="35" t="e">
        <f>Source!I40</f>
        <v>#REF!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</row>
    <row r="22" spans="1:251" s="20" customFormat="1" ht="12" x14ac:dyDescent="0.2">
      <c r="A22" s="43">
        <v>8</v>
      </c>
      <c r="B22" s="44" t="s">
        <v>309</v>
      </c>
      <c r="C22" s="44" t="s">
        <v>311</v>
      </c>
      <c r="D22" s="44" t="s">
        <v>312</v>
      </c>
      <c r="E22" s="45">
        <v>3.7152000000000003</v>
      </c>
      <c r="J22" s="35"/>
      <c r="K22" s="35" t="e">
        <f t="shared" si="0"/>
        <v>#REF!</v>
      </c>
      <c r="L22" s="35" t="e">
        <f>Source!I32</f>
        <v>#REF!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</row>
    <row r="23" spans="1:251" s="20" customFormat="1" ht="12" x14ac:dyDescent="0.2">
      <c r="A23" s="43">
        <v>9</v>
      </c>
      <c r="B23" s="44" t="s">
        <v>332</v>
      </c>
      <c r="C23" s="44" t="s">
        <v>334</v>
      </c>
      <c r="D23" s="44" t="s">
        <v>299</v>
      </c>
      <c r="E23" s="45">
        <v>4.8000000000000001E-4</v>
      </c>
      <c r="J23" s="35"/>
      <c r="K23" s="35">
        <f t="shared" si="0"/>
        <v>7.4850000000000003</v>
      </c>
      <c r="L23" s="35">
        <f>SmtRes!CX55</f>
        <v>3.8250000000000002</v>
      </c>
      <c r="M23" s="35">
        <f>SmtRes!CX67</f>
        <v>3.66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</row>
    <row r="24" spans="1:251" s="20" customFormat="1" ht="24" x14ac:dyDescent="0.2">
      <c r="A24" s="43">
        <v>10</v>
      </c>
      <c r="B24" s="44" t="s">
        <v>313</v>
      </c>
      <c r="C24" s="44" t="s">
        <v>315</v>
      </c>
      <c r="D24" s="44" t="s">
        <v>299</v>
      </c>
      <c r="E24" s="45">
        <v>1.3799999999999999E-3</v>
      </c>
      <c r="J24" s="35"/>
      <c r="K24" s="35">
        <f t="shared" si="0"/>
        <v>1.9620000000000002E-3</v>
      </c>
      <c r="L24" s="35">
        <f>SmtRes!CX34</f>
        <v>7.2000000000000002E-5</v>
      </c>
      <c r="M24" s="35">
        <f>SmtRes!CX44</f>
        <v>9.3599999999999998E-5</v>
      </c>
      <c r="N24" s="35">
        <f>SmtRes!CX56</f>
        <v>9.1799999999999998E-4</v>
      </c>
      <c r="O24" s="35">
        <f>SmtRes!CX68</f>
        <v>8.7839999999999999E-4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</row>
    <row r="25" spans="1:251" s="20" customFormat="1" ht="24" x14ac:dyDescent="0.2">
      <c r="A25" s="43">
        <v>11</v>
      </c>
      <c r="B25" s="44" t="s">
        <v>319</v>
      </c>
      <c r="C25" s="44" t="s">
        <v>321</v>
      </c>
      <c r="D25" s="44" t="s">
        <v>299</v>
      </c>
      <c r="E25" s="45">
        <v>2.9940000000000001E-2</v>
      </c>
      <c r="J25" s="35"/>
      <c r="K25" s="35">
        <f t="shared" si="0"/>
        <v>3.7152000000000003</v>
      </c>
      <c r="L25" s="35">
        <f>SmtRes!CX32</f>
        <v>0.1152</v>
      </c>
      <c r="M25" s="35">
        <f>SmtRes!CX42</f>
        <v>0.14976</v>
      </c>
      <c r="N25" s="35">
        <f>SmtRes!CX52</f>
        <v>1.4688000000000001</v>
      </c>
      <c r="O25" s="35">
        <f>SmtRes!CX64</f>
        <v>1.40544</v>
      </c>
      <c r="P25" s="35">
        <f>SmtRes!CX76</f>
        <v>0.57599999999999996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</row>
    <row r="26" spans="1:251" s="20" customFormat="1" ht="24" x14ac:dyDescent="0.2">
      <c r="A26" s="43">
        <v>12</v>
      </c>
      <c r="B26" s="44" t="s">
        <v>322</v>
      </c>
      <c r="C26" s="44" t="s">
        <v>324</v>
      </c>
      <c r="D26" s="44" t="s">
        <v>299</v>
      </c>
      <c r="E26" s="45">
        <v>0.2994</v>
      </c>
      <c r="J26" s="35"/>
      <c r="K26" s="35">
        <f t="shared" si="0"/>
        <v>24</v>
      </c>
      <c r="L26" s="35">
        <f>Source!I43</f>
        <v>24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</row>
    <row r="27" spans="1:251" s="20" customFormat="1" x14ac:dyDescent="0.2">
      <c r="A27" s="39"/>
      <c r="B27" s="39"/>
      <c r="C27" s="39"/>
      <c r="D27" s="39"/>
      <c r="E27" s="39"/>
      <c r="J27" s="35"/>
      <c r="K27" s="35">
        <f t="shared" si="0"/>
        <v>4.8000000000000001E-4</v>
      </c>
      <c r="L27" s="35">
        <f>SmtRes!CX75</f>
        <v>4.8000000000000001E-4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</row>
    <row r="28" spans="1:251" s="20" customFormat="1" x14ac:dyDescent="0.2">
      <c r="A28" s="42"/>
      <c r="B28" s="42" t="s">
        <v>610</v>
      </c>
      <c r="C28" s="42"/>
      <c r="D28" s="42"/>
      <c r="E28" s="42"/>
      <c r="J28" s="35"/>
      <c r="K28" s="35" t="e">
        <f t="shared" si="0"/>
        <v>#REF!</v>
      </c>
      <c r="L28" s="35" t="e">
        <f>Source!I27</f>
        <v>#REF!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</row>
    <row r="29" spans="1:251" s="20" customFormat="1" ht="12" x14ac:dyDescent="0.2">
      <c r="A29" s="43">
        <v>13</v>
      </c>
      <c r="B29" s="44" t="s">
        <v>126</v>
      </c>
      <c r="C29" s="44" t="s">
        <v>127</v>
      </c>
      <c r="D29" s="44" t="s">
        <v>95</v>
      </c>
      <c r="E29" s="45">
        <v>1650</v>
      </c>
      <c r="J29" s="35"/>
      <c r="K29" s="35">
        <f t="shared" si="0"/>
        <v>1.3799999999999999E-3</v>
      </c>
      <c r="L29" s="35">
        <f>SmtRes!CX33</f>
        <v>5.9999999999999995E-4</v>
      </c>
      <c r="M29" s="35">
        <f>SmtRes!CX43</f>
        <v>7.7999999999999999E-4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</row>
    <row r="30" spans="1:251" s="20" customFormat="1" ht="12" x14ac:dyDescent="0.2">
      <c r="A30" s="43">
        <v>14</v>
      </c>
      <c r="B30" s="44" t="s">
        <v>126</v>
      </c>
      <c r="C30" s="44" t="s">
        <v>611</v>
      </c>
      <c r="D30" s="44" t="s">
        <v>95</v>
      </c>
      <c r="E30" s="45">
        <v>1080</v>
      </c>
      <c r="J30" s="35"/>
      <c r="K30" s="35">
        <f t="shared" si="0"/>
        <v>2.9940000000000001E-2</v>
      </c>
      <c r="L30" s="35">
        <f>SmtRes!CX53</f>
        <v>1.5299999999999999E-2</v>
      </c>
      <c r="M30" s="35">
        <f>SmtRes!CX65</f>
        <v>1.464E-2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</row>
    <row r="31" spans="1:251" s="20" customFormat="1" ht="12" x14ac:dyDescent="0.2">
      <c r="A31" s="43">
        <v>15</v>
      </c>
      <c r="B31" s="44" t="s">
        <v>118</v>
      </c>
      <c r="C31" s="44" t="s">
        <v>119</v>
      </c>
      <c r="D31" s="44" t="s">
        <v>120</v>
      </c>
      <c r="E31" s="45">
        <v>0.54</v>
      </c>
      <c r="J31" s="35"/>
      <c r="K31" s="35">
        <f t="shared" si="0"/>
        <v>276</v>
      </c>
      <c r="L31" s="35">
        <f>Source!I35</f>
        <v>276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</row>
    <row r="32" spans="1:251" s="20" customFormat="1" ht="24" x14ac:dyDescent="0.2">
      <c r="A32" s="43">
        <v>16</v>
      </c>
      <c r="B32" s="44" t="s">
        <v>73</v>
      </c>
      <c r="C32" s="44" t="s">
        <v>74</v>
      </c>
      <c r="D32" s="44" t="s">
        <v>75</v>
      </c>
      <c r="E32" s="45">
        <v>16.991</v>
      </c>
      <c r="J32" s="35"/>
      <c r="K32" s="35">
        <f t="shared" si="0"/>
        <v>0.2994</v>
      </c>
      <c r="L32" s="35">
        <f>SmtRes!CX54</f>
        <v>0.153</v>
      </c>
      <c r="M32" s="35">
        <f>SmtRes!CX66</f>
        <v>0.1464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</row>
    <row r="33" spans="1:251" s="20" customFormat="1" ht="24" x14ac:dyDescent="0.2">
      <c r="A33" s="43">
        <v>17</v>
      </c>
      <c r="B33" s="44" t="s">
        <v>73</v>
      </c>
      <c r="C33" s="44" t="s">
        <v>138</v>
      </c>
      <c r="D33" s="44" t="s">
        <v>139</v>
      </c>
      <c r="E33" s="45">
        <v>24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</row>
    <row r="34" spans="1:251" s="20" customFormat="1" ht="24" x14ac:dyDescent="0.2">
      <c r="A34" s="43">
        <v>18</v>
      </c>
      <c r="B34" s="44" t="s">
        <v>43</v>
      </c>
      <c r="C34" s="44" t="s">
        <v>44</v>
      </c>
      <c r="D34" s="44" t="s">
        <v>45</v>
      </c>
      <c r="E34" s="45">
        <v>167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</row>
    <row r="35" spans="1:251" s="20" customFormat="1" ht="24" x14ac:dyDescent="0.2">
      <c r="A35" s="43">
        <v>19</v>
      </c>
      <c r="B35" s="44" t="s">
        <v>98</v>
      </c>
      <c r="C35" s="44" t="s">
        <v>612</v>
      </c>
      <c r="D35" s="44" t="s">
        <v>95</v>
      </c>
      <c r="E35" s="45">
        <v>276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</row>
    <row r="36" spans="1:251" x14ac:dyDescent="0.2">
      <c r="A36" s="117"/>
      <c r="B36" s="117"/>
      <c r="C36" s="118"/>
      <c r="D36" s="117"/>
      <c r="E36" s="117"/>
      <c r="F36" s="18"/>
      <c r="G36" s="18"/>
      <c r="H36" s="18"/>
      <c r="I36" s="3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</row>
    <row r="37" spans="1:251" ht="15.75" x14ac:dyDescent="0.25">
      <c r="A37" s="11" t="s">
        <v>375</v>
      </c>
      <c r="B37" s="137" t="s">
        <v>524</v>
      </c>
      <c r="C37" s="137"/>
      <c r="D37" s="137"/>
      <c r="E37" s="137"/>
      <c r="F37" s="137"/>
      <c r="G37" s="18"/>
      <c r="H37" s="18"/>
      <c r="I37" s="3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</row>
    <row r="38" spans="1:251" x14ac:dyDescent="0.2">
      <c r="A38" s="117"/>
      <c r="B38" s="117"/>
      <c r="C38" s="118"/>
      <c r="D38" s="117"/>
      <c r="E38" s="117"/>
      <c r="F38" s="18"/>
      <c r="G38" s="18"/>
      <c r="H38" s="18"/>
      <c r="I38" s="3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</row>
    <row r="39" spans="1:251" x14ac:dyDescent="0.2">
      <c r="A39" s="29" t="s">
        <v>410</v>
      </c>
      <c r="B39" s="29" t="s">
        <v>412</v>
      </c>
      <c r="C39" s="29" t="s">
        <v>415</v>
      </c>
      <c r="D39" s="29" t="s">
        <v>417</v>
      </c>
      <c r="E39" s="29" t="s">
        <v>420</v>
      </c>
      <c r="F39" s="18"/>
      <c r="G39" s="18"/>
      <c r="H39" s="18"/>
      <c r="I39" s="3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</row>
    <row r="40" spans="1:251" x14ac:dyDescent="0.2">
      <c r="A40" s="49" t="s">
        <v>411</v>
      </c>
      <c r="B40" s="49" t="s">
        <v>413</v>
      </c>
      <c r="C40" s="49" t="s">
        <v>416</v>
      </c>
      <c r="D40" s="49" t="s">
        <v>418</v>
      </c>
      <c r="E40" s="49" t="s">
        <v>421</v>
      </c>
      <c r="F40" s="18"/>
      <c r="G40" s="18"/>
      <c r="H40" s="18"/>
      <c r="I40" s="3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</row>
    <row r="41" spans="1:251" x14ac:dyDescent="0.2">
      <c r="A41" s="49"/>
      <c r="B41" s="49" t="s">
        <v>414</v>
      </c>
      <c r="C41" s="49"/>
      <c r="D41" s="49" t="s">
        <v>419</v>
      </c>
      <c r="E41" s="49"/>
      <c r="F41" s="18"/>
      <c r="G41" s="18"/>
      <c r="H41" s="18"/>
      <c r="I41" s="3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</row>
    <row r="42" spans="1:251" x14ac:dyDescent="0.2">
      <c r="A42" s="49">
        <v>1</v>
      </c>
      <c r="B42" s="49">
        <v>2</v>
      </c>
      <c r="C42" s="49">
        <v>3</v>
      </c>
      <c r="D42" s="49">
        <v>4</v>
      </c>
      <c r="E42" s="49">
        <v>5</v>
      </c>
      <c r="F42" s="18"/>
      <c r="G42" s="18"/>
      <c r="H42" s="18"/>
      <c r="I42" s="3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</row>
    <row r="43" spans="1:251" x14ac:dyDescent="0.2">
      <c r="A43" s="42"/>
      <c r="B43" s="42" t="s">
        <v>429</v>
      </c>
      <c r="C43" s="42"/>
      <c r="D43" s="42"/>
      <c r="E43" s="42"/>
      <c r="F43" s="18"/>
      <c r="G43" s="18"/>
      <c r="H43" s="18"/>
      <c r="I43" s="3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</row>
    <row r="44" spans="1:251" x14ac:dyDescent="0.2">
      <c r="A44" s="43">
        <v>1</v>
      </c>
      <c r="B44" s="44" t="s">
        <v>543</v>
      </c>
      <c r="C44" s="44" t="s">
        <v>544</v>
      </c>
      <c r="D44" s="44" t="s">
        <v>328</v>
      </c>
      <c r="E44" s="45">
        <v>0.06</v>
      </c>
      <c r="F44" s="18"/>
      <c r="G44" s="18"/>
      <c r="H44" s="18"/>
      <c r="I44" s="3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</row>
    <row r="45" spans="1:251" x14ac:dyDescent="0.2">
      <c r="A45" s="43">
        <v>2</v>
      </c>
      <c r="B45" s="44" t="s">
        <v>545</v>
      </c>
      <c r="C45" s="44" t="s">
        <v>546</v>
      </c>
      <c r="D45" s="44" t="s">
        <v>328</v>
      </c>
      <c r="E45" s="45">
        <v>0.18859999999999999</v>
      </c>
      <c r="F45" s="18"/>
      <c r="G45" s="18"/>
      <c r="H45" s="18"/>
      <c r="I45" s="3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</row>
    <row r="46" spans="1:251" x14ac:dyDescent="0.2">
      <c r="A46" s="43">
        <v>3</v>
      </c>
      <c r="B46" s="44" t="s">
        <v>547</v>
      </c>
      <c r="C46" s="44" t="s">
        <v>548</v>
      </c>
      <c r="D46" s="44" t="s">
        <v>328</v>
      </c>
      <c r="E46" s="45">
        <v>0.02</v>
      </c>
      <c r="F46" s="18"/>
      <c r="G46" s="18"/>
      <c r="H46" s="18"/>
      <c r="I46" s="3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</row>
    <row r="47" spans="1:251" x14ac:dyDescent="0.2">
      <c r="A47" s="43">
        <v>4</v>
      </c>
      <c r="B47" s="44" t="s">
        <v>549</v>
      </c>
      <c r="C47" s="44" t="s">
        <v>550</v>
      </c>
      <c r="D47" s="44" t="s">
        <v>45</v>
      </c>
      <c r="E47" s="45">
        <v>3.5279999999999999E-3</v>
      </c>
      <c r="F47" s="18"/>
      <c r="G47" s="18"/>
      <c r="H47" s="18"/>
      <c r="I47" s="3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</row>
    <row r="48" spans="1:251" x14ac:dyDescent="0.2">
      <c r="A48" s="43">
        <v>5</v>
      </c>
      <c r="B48" s="44" t="s">
        <v>551</v>
      </c>
      <c r="C48" s="44" t="s">
        <v>552</v>
      </c>
      <c r="D48" s="44" t="s">
        <v>299</v>
      </c>
      <c r="E48" s="45">
        <v>1.9039999999999999E-4</v>
      </c>
      <c r="F48" s="18"/>
      <c r="G48" s="18"/>
      <c r="H48" s="18"/>
      <c r="I48" s="3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</row>
    <row r="49" spans="1:251" ht="24" x14ac:dyDescent="0.2">
      <c r="A49" s="43">
        <v>6</v>
      </c>
      <c r="B49" s="44" t="s">
        <v>553</v>
      </c>
      <c r="C49" s="44" t="s">
        <v>554</v>
      </c>
      <c r="D49" s="44" t="s">
        <v>45</v>
      </c>
      <c r="E49" s="45">
        <v>5.4400000000000004E-3</v>
      </c>
      <c r="F49" s="18"/>
      <c r="G49" s="18"/>
      <c r="H49" s="18"/>
      <c r="I49" s="3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</row>
    <row r="50" spans="1:251" x14ac:dyDescent="0.2">
      <c r="A50" s="43">
        <v>7</v>
      </c>
      <c r="B50" s="44" t="s">
        <v>126</v>
      </c>
      <c r="C50" s="44" t="s">
        <v>555</v>
      </c>
      <c r="D50" s="44" t="s">
        <v>139</v>
      </c>
      <c r="E50" s="45">
        <v>4</v>
      </c>
      <c r="F50" s="18"/>
      <c r="G50" s="18"/>
      <c r="H50" s="18"/>
      <c r="I50" s="3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</row>
    <row r="51" spans="1:251" x14ac:dyDescent="0.2">
      <c r="A51" s="43">
        <v>8</v>
      </c>
      <c r="B51" s="44" t="s">
        <v>126</v>
      </c>
      <c r="C51" s="44" t="s">
        <v>556</v>
      </c>
      <c r="D51" s="44" t="s">
        <v>139</v>
      </c>
      <c r="E51" s="45">
        <v>2</v>
      </c>
      <c r="F51" s="18"/>
      <c r="G51" s="18"/>
      <c r="H51" s="18"/>
      <c r="I51" s="3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</row>
    <row r="52" spans="1:251" x14ac:dyDescent="0.2">
      <c r="A52" s="43">
        <v>9</v>
      </c>
      <c r="B52" s="44" t="s">
        <v>126</v>
      </c>
      <c r="C52" s="44" t="s">
        <v>557</v>
      </c>
      <c r="D52" s="44" t="s">
        <v>139</v>
      </c>
      <c r="E52" s="45">
        <v>16</v>
      </c>
      <c r="F52" s="18"/>
      <c r="G52" s="18"/>
      <c r="H52" s="18"/>
      <c r="I52" s="3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</row>
    <row r="53" spans="1:251" x14ac:dyDescent="0.2">
      <c r="A53" s="43">
        <v>10</v>
      </c>
      <c r="B53" s="44" t="s">
        <v>126</v>
      </c>
      <c r="C53" s="44" t="s">
        <v>558</v>
      </c>
      <c r="D53" s="44" t="s">
        <v>139</v>
      </c>
      <c r="E53" s="45">
        <v>1</v>
      </c>
      <c r="F53" s="18"/>
      <c r="G53" s="18"/>
      <c r="H53" s="18"/>
      <c r="I53" s="3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</row>
    <row r="54" spans="1:251" x14ac:dyDescent="0.2">
      <c r="A54" s="43">
        <v>11</v>
      </c>
      <c r="B54" s="44" t="s">
        <v>126</v>
      </c>
      <c r="C54" s="44" t="s">
        <v>559</v>
      </c>
      <c r="D54" s="44" t="s">
        <v>139</v>
      </c>
      <c r="E54" s="45">
        <v>1</v>
      </c>
      <c r="F54" s="18"/>
      <c r="G54" s="18"/>
      <c r="H54" s="18"/>
      <c r="I54" s="3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</row>
    <row r="55" spans="1:251" x14ac:dyDescent="0.2">
      <c r="A55" s="43">
        <v>12</v>
      </c>
      <c r="B55" s="44" t="s">
        <v>560</v>
      </c>
      <c r="C55" s="44" t="s">
        <v>561</v>
      </c>
      <c r="D55" s="44" t="s">
        <v>299</v>
      </c>
      <c r="E55" s="45">
        <v>2.1599999999999999E-4</v>
      </c>
      <c r="F55" s="18"/>
      <c r="G55" s="18"/>
      <c r="H55" s="18"/>
      <c r="I55" s="3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</row>
    <row r="56" spans="1:251" x14ac:dyDescent="0.2">
      <c r="A56" s="43">
        <v>13</v>
      </c>
      <c r="B56" s="44" t="s">
        <v>562</v>
      </c>
      <c r="C56" s="44" t="s">
        <v>563</v>
      </c>
      <c r="D56" s="44" t="s">
        <v>338</v>
      </c>
      <c r="E56" s="45">
        <v>0.06</v>
      </c>
      <c r="F56" s="18"/>
      <c r="G56" s="18"/>
      <c r="H56" s="18"/>
      <c r="I56" s="3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</row>
    <row r="57" spans="1:251" ht="36" x14ac:dyDescent="0.2">
      <c r="A57" s="43">
        <v>14</v>
      </c>
      <c r="B57" s="44" t="s">
        <v>564</v>
      </c>
      <c r="C57" s="44" t="s">
        <v>565</v>
      </c>
      <c r="D57" s="44" t="s">
        <v>566</v>
      </c>
      <c r="E57" s="45">
        <v>0.18</v>
      </c>
      <c r="F57" s="18"/>
      <c r="G57" s="18"/>
      <c r="H57" s="18"/>
      <c r="I57" s="3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</row>
    <row r="58" spans="1:251" ht="24" x14ac:dyDescent="0.2">
      <c r="A58" s="43">
        <v>15</v>
      </c>
      <c r="B58" s="44" t="s">
        <v>567</v>
      </c>
      <c r="C58" s="44" t="s">
        <v>568</v>
      </c>
      <c r="D58" s="44" t="s">
        <v>566</v>
      </c>
      <c r="E58" s="45">
        <v>4</v>
      </c>
      <c r="F58" s="18"/>
      <c r="G58" s="18"/>
      <c r="H58" s="18"/>
      <c r="I58" s="3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</row>
    <row r="59" spans="1:251" x14ac:dyDescent="0.2">
      <c r="A59" s="43">
        <v>16</v>
      </c>
      <c r="B59" s="44" t="s">
        <v>126</v>
      </c>
      <c r="C59" s="44" t="s">
        <v>569</v>
      </c>
      <c r="D59" s="44" t="s">
        <v>139</v>
      </c>
      <c r="E59" s="45">
        <v>1</v>
      </c>
      <c r="F59" s="18"/>
      <c r="G59" s="18"/>
      <c r="H59" s="18"/>
      <c r="I59" s="3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</row>
    <row r="60" spans="1:251" x14ac:dyDescent="0.2">
      <c r="A60" s="43">
        <v>17</v>
      </c>
      <c r="B60" s="44" t="s">
        <v>126</v>
      </c>
      <c r="C60" s="44" t="s">
        <v>570</v>
      </c>
      <c r="D60" s="44" t="s">
        <v>139</v>
      </c>
      <c r="E60" s="45">
        <v>1</v>
      </c>
      <c r="F60" s="18"/>
      <c r="G60" s="18"/>
      <c r="H60" s="18"/>
      <c r="I60" s="3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</row>
    <row r="61" spans="1:251" ht="24" x14ac:dyDescent="0.2">
      <c r="A61" s="43">
        <v>18</v>
      </c>
      <c r="B61" s="44" t="s">
        <v>571</v>
      </c>
      <c r="C61" s="44" t="s">
        <v>572</v>
      </c>
      <c r="D61" s="44" t="s">
        <v>299</v>
      </c>
      <c r="E61" s="45">
        <v>4.0000000000000002E-4</v>
      </c>
      <c r="F61" s="18"/>
      <c r="G61" s="18"/>
      <c r="H61" s="18"/>
      <c r="I61" s="3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</row>
    <row r="62" spans="1:251" x14ac:dyDescent="0.2">
      <c r="A62" s="43">
        <v>19</v>
      </c>
      <c r="B62" s="44" t="s">
        <v>126</v>
      </c>
      <c r="C62" s="44" t="s">
        <v>573</v>
      </c>
      <c r="D62" s="44" t="s">
        <v>139</v>
      </c>
      <c r="E62" s="45">
        <v>4</v>
      </c>
      <c r="F62" s="18"/>
      <c r="G62" s="18"/>
      <c r="H62" s="18"/>
      <c r="I62" s="3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</row>
    <row r="63" spans="1:251" x14ac:dyDescent="0.2">
      <c r="A63" s="43">
        <v>20</v>
      </c>
      <c r="B63" s="44" t="s">
        <v>574</v>
      </c>
      <c r="C63" s="44" t="s">
        <v>575</v>
      </c>
      <c r="D63" s="44" t="s">
        <v>299</v>
      </c>
      <c r="E63" s="45">
        <v>1E-4</v>
      </c>
      <c r="F63" s="18"/>
      <c r="G63" s="18"/>
      <c r="H63" s="18"/>
      <c r="I63" s="3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</row>
    <row r="64" spans="1:251" ht="36" x14ac:dyDescent="0.2">
      <c r="A64" s="43">
        <v>21</v>
      </c>
      <c r="B64" s="44" t="s">
        <v>576</v>
      </c>
      <c r="C64" s="44" t="s">
        <v>577</v>
      </c>
      <c r="D64" s="44" t="s">
        <v>135</v>
      </c>
      <c r="E64" s="45">
        <v>0.2732</v>
      </c>
      <c r="F64" s="18"/>
      <c r="G64" s="18"/>
      <c r="H64" s="18"/>
      <c r="I64" s="3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</row>
    <row r="65" spans="1:251" ht="36" x14ac:dyDescent="0.2">
      <c r="A65" s="43">
        <v>22</v>
      </c>
      <c r="B65" s="44" t="s">
        <v>576</v>
      </c>
      <c r="C65" s="44" t="s">
        <v>578</v>
      </c>
      <c r="D65" s="44" t="s">
        <v>135</v>
      </c>
      <c r="E65" s="45">
        <v>0.08</v>
      </c>
      <c r="F65" s="18"/>
      <c r="G65" s="18"/>
      <c r="H65" s="18"/>
      <c r="I65" s="3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</row>
    <row r="66" spans="1:251" ht="36" x14ac:dyDescent="0.2">
      <c r="A66" s="43">
        <v>23</v>
      </c>
      <c r="B66" s="44" t="s">
        <v>576</v>
      </c>
      <c r="C66" s="44" t="s">
        <v>579</v>
      </c>
      <c r="D66" s="44" t="s">
        <v>135</v>
      </c>
      <c r="E66" s="45">
        <v>0.12</v>
      </c>
      <c r="F66" s="18"/>
      <c r="G66" s="18"/>
      <c r="H66" s="18"/>
      <c r="I66" s="3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</row>
    <row r="67" spans="1:251" x14ac:dyDescent="0.2">
      <c r="A67" s="43">
        <v>24</v>
      </c>
      <c r="B67" s="44" t="s">
        <v>126</v>
      </c>
      <c r="C67" s="44" t="s">
        <v>580</v>
      </c>
      <c r="D67" s="44" t="s">
        <v>139</v>
      </c>
      <c r="E67" s="45">
        <v>1</v>
      </c>
      <c r="F67" s="18"/>
      <c r="G67" s="18"/>
      <c r="H67" s="18"/>
      <c r="I67" s="3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</row>
    <row r="68" spans="1:251" x14ac:dyDescent="0.2">
      <c r="A68" s="43">
        <v>25</v>
      </c>
      <c r="B68" s="44" t="s">
        <v>581</v>
      </c>
      <c r="C68" s="44" t="s">
        <v>582</v>
      </c>
      <c r="D68" s="44" t="s">
        <v>583</v>
      </c>
      <c r="E68" s="45">
        <v>1.224</v>
      </c>
      <c r="F68" s="18"/>
      <c r="G68" s="18"/>
      <c r="H68" s="18"/>
      <c r="I68" s="3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</row>
    <row r="69" spans="1:251" x14ac:dyDescent="0.2">
      <c r="A69" s="43">
        <v>26</v>
      </c>
      <c r="B69" s="44" t="s">
        <v>584</v>
      </c>
      <c r="C69" s="44" t="s">
        <v>585</v>
      </c>
      <c r="D69" s="44" t="s">
        <v>120</v>
      </c>
      <c r="E69" s="45">
        <v>9.1799999999999993E-2</v>
      </c>
      <c r="F69" s="18"/>
      <c r="G69" s="18"/>
      <c r="H69" s="18"/>
      <c r="I69" s="3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</row>
    <row r="70" spans="1:251" x14ac:dyDescent="0.2">
      <c r="A70" s="43">
        <v>27</v>
      </c>
      <c r="B70" s="44" t="s">
        <v>586</v>
      </c>
      <c r="C70" s="44" t="s">
        <v>587</v>
      </c>
      <c r="D70" s="44" t="s">
        <v>120</v>
      </c>
      <c r="E70" s="45">
        <v>4.0000000000000001E-3</v>
      </c>
      <c r="F70" s="18"/>
      <c r="G70" s="18"/>
      <c r="H70" s="18"/>
      <c r="I70" s="3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</row>
    <row r="71" spans="1:251" x14ac:dyDescent="0.2">
      <c r="A71" s="43">
        <v>28</v>
      </c>
      <c r="B71" s="44" t="s">
        <v>588</v>
      </c>
      <c r="C71" s="44" t="s">
        <v>589</v>
      </c>
      <c r="D71" s="44" t="s">
        <v>299</v>
      </c>
      <c r="E71" s="45">
        <v>2.9999999999999997E-4</v>
      </c>
      <c r="F71" s="18"/>
      <c r="G71" s="18"/>
      <c r="H71" s="18"/>
      <c r="I71" s="3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</row>
    <row r="72" spans="1:251" ht="24" x14ac:dyDescent="0.2">
      <c r="A72" s="43">
        <v>29</v>
      </c>
      <c r="B72" s="44" t="s">
        <v>590</v>
      </c>
      <c r="C72" s="44" t="s">
        <v>591</v>
      </c>
      <c r="D72" s="44" t="s">
        <v>338</v>
      </c>
      <c r="E72" s="45">
        <v>8.3600000000000008E-2</v>
      </c>
      <c r="F72" s="18"/>
      <c r="G72" s="18"/>
      <c r="H72" s="18"/>
      <c r="I72" s="3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</row>
    <row r="73" spans="1:251" ht="24" x14ac:dyDescent="0.2">
      <c r="A73" s="43">
        <v>30</v>
      </c>
      <c r="B73" s="44" t="s">
        <v>590</v>
      </c>
      <c r="C73" s="44" t="s">
        <v>591</v>
      </c>
      <c r="D73" s="44" t="s">
        <v>338</v>
      </c>
      <c r="E73" s="45">
        <v>0.1</v>
      </c>
      <c r="F73" s="18"/>
      <c r="G73" s="18"/>
      <c r="H73" s="18"/>
      <c r="I73" s="3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</row>
    <row r="74" spans="1:251" x14ac:dyDescent="0.2">
      <c r="A74" s="43">
        <v>31</v>
      </c>
      <c r="B74" s="44" t="s">
        <v>592</v>
      </c>
      <c r="C74" s="44" t="s">
        <v>593</v>
      </c>
      <c r="D74" s="44" t="s">
        <v>328</v>
      </c>
      <c r="E74" s="45">
        <v>0.11</v>
      </c>
      <c r="F74" s="18"/>
      <c r="G74" s="18"/>
      <c r="H74" s="18"/>
      <c r="I74" s="3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</row>
    <row r="75" spans="1:251" x14ac:dyDescent="0.2">
      <c r="A75" s="43">
        <v>32</v>
      </c>
      <c r="B75" s="44" t="s">
        <v>594</v>
      </c>
      <c r="C75" s="44" t="s">
        <v>595</v>
      </c>
      <c r="D75" s="44" t="s">
        <v>328</v>
      </c>
      <c r="E75" s="45">
        <v>0.03</v>
      </c>
      <c r="F75" s="18"/>
      <c r="G75" s="18"/>
      <c r="H75" s="18"/>
      <c r="I75" s="3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</row>
    <row r="76" spans="1:251" x14ac:dyDescent="0.2">
      <c r="A76" s="43">
        <v>33</v>
      </c>
      <c r="B76" s="44" t="s">
        <v>596</v>
      </c>
      <c r="C76" s="44" t="s">
        <v>597</v>
      </c>
      <c r="D76" s="44" t="s">
        <v>45</v>
      </c>
      <c r="E76" s="45">
        <v>0.81599999999999995</v>
      </c>
      <c r="F76" s="18"/>
      <c r="G76" s="18"/>
      <c r="H76" s="18"/>
      <c r="I76" s="3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</row>
    <row r="77" spans="1:251" ht="24" x14ac:dyDescent="0.2">
      <c r="A77" s="43">
        <v>34</v>
      </c>
      <c r="B77" s="44" t="s">
        <v>598</v>
      </c>
      <c r="C77" s="44" t="s">
        <v>599</v>
      </c>
      <c r="D77" s="44" t="s">
        <v>135</v>
      </c>
      <c r="E77" s="45">
        <v>1</v>
      </c>
      <c r="F77" s="18"/>
      <c r="G77" s="18"/>
      <c r="H77" s="18"/>
      <c r="I77" s="3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</row>
    <row r="78" spans="1:251" x14ac:dyDescent="0.2">
      <c r="A78" s="43">
        <v>35</v>
      </c>
      <c r="B78" s="44" t="s">
        <v>126</v>
      </c>
      <c r="C78" s="44" t="s">
        <v>600</v>
      </c>
      <c r="D78" s="44" t="s">
        <v>139</v>
      </c>
      <c r="E78" s="45">
        <v>16</v>
      </c>
      <c r="F78" s="18"/>
      <c r="G78" s="18"/>
      <c r="H78" s="18"/>
      <c r="I78" s="3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</row>
    <row r="79" spans="1:251" x14ac:dyDescent="0.2">
      <c r="A79" s="43">
        <v>36</v>
      </c>
      <c r="B79" s="44" t="s">
        <v>601</v>
      </c>
      <c r="C79" s="44" t="s">
        <v>602</v>
      </c>
      <c r="D79" s="44" t="s">
        <v>583</v>
      </c>
      <c r="E79" s="45">
        <v>0.51280000000000003</v>
      </c>
      <c r="F79" s="18"/>
      <c r="G79" s="18"/>
      <c r="H79" s="18"/>
      <c r="I79" s="3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</row>
    <row r="80" spans="1:251" x14ac:dyDescent="0.2">
      <c r="A80" s="117"/>
      <c r="B80" s="117"/>
      <c r="C80" s="118"/>
      <c r="D80" s="117"/>
      <c r="E80" s="117"/>
      <c r="F80" s="18"/>
      <c r="G80" s="18"/>
      <c r="H80" s="18"/>
      <c r="I80" s="3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</row>
    <row r="82" spans="1:5" x14ac:dyDescent="0.2">
      <c r="A82" s="87" t="s">
        <v>397</v>
      </c>
      <c r="B82" s="87"/>
      <c r="C82" s="88"/>
      <c r="D82" s="89"/>
      <c r="E82" s="89"/>
    </row>
    <row r="83" spans="1:5" x14ac:dyDescent="0.2">
      <c r="A83" s="91"/>
      <c r="B83" s="91"/>
      <c r="C83" s="119" t="s">
        <v>394</v>
      </c>
      <c r="D83" s="119"/>
      <c r="E83" s="119" t="s">
        <v>395</v>
      </c>
    </row>
    <row r="84" spans="1:5" x14ac:dyDescent="0.2">
      <c r="A84" s="92"/>
      <c r="B84" s="92"/>
      <c r="C84" s="92"/>
      <c r="D84" s="120" t="s">
        <v>396</v>
      </c>
      <c r="E84" s="92"/>
    </row>
    <row r="85" spans="1:5" x14ac:dyDescent="0.2">
      <c r="A85" s="87" t="s">
        <v>400</v>
      </c>
      <c r="B85" s="87"/>
      <c r="C85" s="88"/>
      <c r="D85" s="89"/>
      <c r="E85" s="89"/>
    </row>
    <row r="86" spans="1:5" x14ac:dyDescent="0.2">
      <c r="A86" s="91"/>
      <c r="B86" s="91"/>
      <c r="C86" s="119" t="s">
        <v>394</v>
      </c>
      <c r="D86" s="119"/>
      <c r="E86" s="119" t="s">
        <v>395</v>
      </c>
    </row>
    <row r="87" spans="1:5" x14ac:dyDescent="0.2">
      <c r="A87" s="92"/>
      <c r="B87" s="92"/>
      <c r="C87" s="92"/>
      <c r="D87" s="120" t="s">
        <v>396</v>
      </c>
      <c r="E87" s="92"/>
    </row>
    <row r="88" spans="1:5" x14ac:dyDescent="0.2">
      <c r="A88" s="90"/>
      <c r="B88" s="90"/>
      <c r="C88" s="90"/>
      <c r="D88" s="90"/>
      <c r="E88" s="90"/>
    </row>
  </sheetData>
  <sortState ref="A22:IU39">
    <sortCondition ref="C22"/>
    <sortCondition ref="D22"/>
  </sortState>
  <mergeCells count="9">
    <mergeCell ref="B37:F37"/>
    <mergeCell ref="B8:E8"/>
    <mergeCell ref="A1:E1"/>
    <mergeCell ref="A2:E2"/>
    <mergeCell ref="A3:E3"/>
    <mergeCell ref="A4:E4"/>
    <mergeCell ref="A5:E5"/>
    <mergeCell ref="B6:E6"/>
    <mergeCell ref="B7:E7"/>
  </mergeCells>
  <pageMargins left="0.7" right="0.7" top="0.75" bottom="0.75" header="0.3" footer="0.3"/>
  <pageSetup paperSize="9" scale="87" orientation="portrait" r:id="rId1"/>
  <headerFoot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O75"/>
  <sheetViews>
    <sheetView tabSelected="1" view="pageBreakPreview" zoomScaleNormal="134" zoomScaleSheetLayoutView="100" workbookViewId="0">
      <selection activeCell="F47" sqref="F47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11.5703125" customWidth="1"/>
    <col min="6" max="6" width="29.85546875" customWidth="1"/>
    <col min="8" max="8" width="9.5703125" bestFit="1" customWidth="1"/>
    <col min="10" max="63" width="0" hidden="1" customWidth="1"/>
    <col min="64" max="65" width="75.7109375" hidden="1" customWidth="1"/>
    <col min="66" max="66" width="113.7109375" hidden="1" customWidth="1"/>
    <col min="67" max="68" width="133.7109375" hidden="1" customWidth="1"/>
    <col min="69" max="69" width="23.7109375" hidden="1" customWidth="1"/>
    <col min="70" max="70" width="0" hidden="1" customWidth="1"/>
    <col min="71" max="71" width="63.7109375" hidden="1" customWidth="1"/>
    <col min="72" max="72" width="21.7109375" hidden="1" customWidth="1"/>
    <col min="73" max="250" width="0" hidden="1" customWidth="1"/>
  </cols>
  <sheetData>
    <row r="1" spans="1:249" ht="38.25" customHeight="1" outlineLevel="1" x14ac:dyDescent="0.25">
      <c r="C1" s="163" t="s">
        <v>523</v>
      </c>
      <c r="D1" s="163"/>
      <c r="E1" s="163"/>
    </row>
    <row r="2" spans="1:249" ht="15" outlineLevel="1" x14ac:dyDescent="0.25">
      <c r="C2" s="165" t="s">
        <v>493</v>
      </c>
      <c r="D2" s="165"/>
      <c r="E2" s="165"/>
      <c r="BN2" s="21"/>
      <c r="IO2" s="18"/>
    </row>
    <row r="3" spans="1:249" outlineLevel="1" x14ac:dyDescent="0.2">
      <c r="C3" s="110"/>
      <c r="D3" s="110"/>
      <c r="E3" s="110" t="s">
        <v>494</v>
      </c>
      <c r="BN3" s="21"/>
      <c r="IO3" s="18"/>
    </row>
    <row r="4" spans="1:249" outlineLevel="1" x14ac:dyDescent="0.2">
      <c r="C4" s="96"/>
      <c r="D4" s="111"/>
      <c r="E4" s="111"/>
      <c r="BN4" s="22"/>
      <c r="IO4" s="18"/>
    </row>
    <row r="5" spans="1:249" ht="15.75" outlineLevel="1" x14ac:dyDescent="0.25">
      <c r="A5" s="16"/>
      <c r="C5" s="109" t="s">
        <v>495</v>
      </c>
      <c r="D5" s="72"/>
      <c r="E5" s="72"/>
    </row>
    <row r="6" spans="1:249" outlineLevel="1" x14ac:dyDescent="0.2">
      <c r="A6" s="16"/>
      <c r="C6" s="164"/>
      <c r="D6" s="164"/>
      <c r="E6" s="164"/>
      <c r="BN6" s="21">
        <f>C6</f>
        <v>0</v>
      </c>
      <c r="IO6" s="18"/>
    </row>
    <row r="7" spans="1:249" outlineLevel="1" x14ac:dyDescent="0.2">
      <c r="A7" s="95" t="s">
        <v>4</v>
      </c>
      <c r="B7" s="95"/>
      <c r="C7" s="95"/>
      <c r="D7" s="95"/>
      <c r="E7" s="95"/>
    </row>
    <row r="8" spans="1:249" outlineLevel="1" x14ac:dyDescent="0.2">
      <c r="A8" s="95" t="s">
        <v>378</v>
      </c>
      <c r="B8" s="95"/>
      <c r="C8" s="95"/>
      <c r="D8" s="95"/>
      <c r="E8" s="95"/>
    </row>
    <row r="9" spans="1:249" outlineLevel="1" x14ac:dyDescent="0.2">
      <c r="A9" s="96" t="s">
        <v>524</v>
      </c>
      <c r="B9" s="96"/>
      <c r="C9" s="96"/>
      <c r="D9" s="96"/>
      <c r="E9" s="96"/>
    </row>
    <row r="10" spans="1:249" outlineLevel="1" x14ac:dyDescent="0.2">
      <c r="A10" s="96"/>
      <c r="B10" s="96"/>
      <c r="C10" s="96"/>
      <c r="D10" s="96"/>
      <c r="E10" s="96"/>
    </row>
    <row r="11" spans="1:249" outlineLevel="1" x14ac:dyDescent="0.2">
      <c r="A11" s="97"/>
      <c r="B11" s="96"/>
      <c r="C11" s="96"/>
      <c r="D11" s="96"/>
      <c r="E11" s="96"/>
    </row>
    <row r="12" spans="1:249" ht="13.5" outlineLevel="1" thickBot="1" x14ac:dyDescent="0.25">
      <c r="A12" s="16" t="s">
        <v>607</v>
      </c>
      <c r="B12" s="96"/>
      <c r="C12" s="96"/>
      <c r="D12" s="96"/>
      <c r="E12" s="96"/>
    </row>
    <row r="13" spans="1:249" ht="12.75" customHeight="1" x14ac:dyDescent="0.2">
      <c r="A13" s="174" t="s">
        <v>380</v>
      </c>
      <c r="B13" s="155" t="s">
        <v>381</v>
      </c>
      <c r="C13" s="155" t="s">
        <v>382</v>
      </c>
      <c r="D13" s="155" t="s">
        <v>383</v>
      </c>
      <c r="E13" s="157" t="s">
        <v>384</v>
      </c>
    </row>
    <row r="14" spans="1:249" x14ac:dyDescent="0.2">
      <c r="A14" s="175"/>
      <c r="B14" s="156"/>
      <c r="C14" s="156"/>
      <c r="D14" s="156"/>
      <c r="E14" s="158"/>
    </row>
    <row r="15" spans="1:249" x14ac:dyDescent="0.2">
      <c r="A15" s="175"/>
      <c r="B15" s="156"/>
      <c r="C15" s="156"/>
      <c r="D15" s="156"/>
      <c r="E15" s="158"/>
    </row>
    <row r="16" spans="1:249" ht="13.5" thickBot="1" x14ac:dyDescent="0.25">
      <c r="A16" s="175"/>
      <c r="B16" s="156"/>
      <c r="C16" s="156"/>
      <c r="D16" s="156"/>
      <c r="E16" s="159"/>
    </row>
    <row r="17" spans="1:249" ht="13.5" thickBot="1" x14ac:dyDescent="0.25">
      <c r="A17" s="98">
        <v>1</v>
      </c>
      <c r="B17" s="98">
        <v>2</v>
      </c>
      <c r="C17" s="98">
        <v>3</v>
      </c>
      <c r="D17" s="98">
        <v>4</v>
      </c>
      <c r="E17" s="98">
        <v>5</v>
      </c>
    </row>
    <row r="18" spans="1:249" ht="36" x14ac:dyDescent="0.2">
      <c r="A18" s="99">
        <v>1</v>
      </c>
      <c r="B18" s="100" t="s">
        <v>17</v>
      </c>
      <c r="C18" s="101" t="s">
        <v>18</v>
      </c>
      <c r="D18" s="102" t="s">
        <v>19</v>
      </c>
      <c r="E18" s="103">
        <v>0.5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</row>
    <row r="19" spans="1:249" ht="36" x14ac:dyDescent="0.2">
      <c r="A19" s="104">
        <v>2</v>
      </c>
      <c r="B19" s="105" t="s">
        <v>28</v>
      </c>
      <c r="C19" s="106" t="s">
        <v>522</v>
      </c>
      <c r="D19" s="107" t="s">
        <v>30</v>
      </c>
      <c r="E19" s="108">
        <v>0.15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</row>
    <row r="20" spans="1:249" ht="24" x14ac:dyDescent="0.2">
      <c r="A20" s="104">
        <v>3</v>
      </c>
      <c r="B20" s="105" t="s">
        <v>39</v>
      </c>
      <c r="C20" s="106" t="s">
        <v>40</v>
      </c>
      <c r="D20" s="107" t="s">
        <v>30</v>
      </c>
      <c r="E20" s="108">
        <v>1.67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</row>
    <row r="21" spans="1:249" ht="36" x14ac:dyDescent="0.2">
      <c r="A21" s="104">
        <v>5</v>
      </c>
      <c r="B21" s="105" t="s">
        <v>51</v>
      </c>
      <c r="C21" s="106" t="s">
        <v>52</v>
      </c>
      <c r="D21" s="107" t="s">
        <v>19</v>
      </c>
      <c r="E21" s="108">
        <v>0.20699999999999999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</row>
    <row r="22" spans="1:249" ht="24" x14ac:dyDescent="0.2">
      <c r="A22" s="104">
        <v>6</v>
      </c>
      <c r="B22" s="105" t="s">
        <v>55</v>
      </c>
      <c r="C22" s="106" t="s">
        <v>56</v>
      </c>
      <c r="D22" s="107" t="s">
        <v>30</v>
      </c>
      <c r="E22" s="108">
        <v>2.0699999999999998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</row>
    <row r="23" spans="1:249" ht="24" x14ac:dyDescent="0.2">
      <c r="A23" s="104">
        <v>7</v>
      </c>
      <c r="B23" s="105" t="s">
        <v>59</v>
      </c>
      <c r="C23" s="106" t="s">
        <v>60</v>
      </c>
      <c r="D23" s="107" t="s">
        <v>61</v>
      </c>
      <c r="E23" s="108">
        <v>7.58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</row>
    <row r="24" spans="1:249" ht="24" x14ac:dyDescent="0.2">
      <c r="A24" s="104">
        <v>8</v>
      </c>
      <c r="B24" s="105" t="s">
        <v>69</v>
      </c>
      <c r="C24" s="106" t="s">
        <v>70</v>
      </c>
      <c r="D24" s="107" t="s">
        <v>61</v>
      </c>
      <c r="E24" s="108">
        <v>20.7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</row>
    <row r="25" spans="1:249" ht="24" x14ac:dyDescent="0.2">
      <c r="A25" s="104">
        <v>10</v>
      </c>
      <c r="B25" s="105" t="s">
        <v>82</v>
      </c>
      <c r="C25" s="106" t="s">
        <v>83</v>
      </c>
      <c r="D25" s="107" t="s">
        <v>84</v>
      </c>
      <c r="E25" s="108">
        <v>0.27600000000000002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</row>
    <row r="26" spans="1:249" ht="24" x14ac:dyDescent="0.2">
      <c r="A26" s="104">
        <v>11</v>
      </c>
      <c r="B26" s="105" t="s">
        <v>102</v>
      </c>
      <c r="C26" s="106" t="s">
        <v>103</v>
      </c>
      <c r="D26" s="107" t="s">
        <v>61</v>
      </c>
      <c r="E26" s="177">
        <v>1.2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</row>
    <row r="27" spans="1:249" ht="24" x14ac:dyDescent="0.2">
      <c r="A27" s="104">
        <v>12</v>
      </c>
      <c r="B27" s="105" t="s">
        <v>106</v>
      </c>
      <c r="C27" s="106" t="s">
        <v>107</v>
      </c>
      <c r="D27" s="107" t="s">
        <v>61</v>
      </c>
      <c r="E27" s="176">
        <v>1.56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</row>
    <row r="28" spans="1:249" ht="24" x14ac:dyDescent="0.2">
      <c r="A28" s="104">
        <v>14</v>
      </c>
      <c r="B28" s="105" t="s">
        <v>110</v>
      </c>
      <c r="C28" s="106" t="s">
        <v>111</v>
      </c>
      <c r="D28" s="107" t="s">
        <v>61</v>
      </c>
      <c r="E28" s="177">
        <v>15.3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</row>
    <row r="29" spans="1:249" ht="24" x14ac:dyDescent="0.2">
      <c r="A29" s="104">
        <v>15</v>
      </c>
      <c r="B29" s="105" t="s">
        <v>114</v>
      </c>
      <c r="C29" s="106" t="s">
        <v>115</v>
      </c>
      <c r="D29" s="107" t="s">
        <v>61</v>
      </c>
      <c r="E29" s="176">
        <v>14.64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</row>
    <row r="30" spans="1:249" ht="36" x14ac:dyDescent="0.2">
      <c r="A30" s="104">
        <v>22</v>
      </c>
      <c r="B30" s="105" t="s">
        <v>133</v>
      </c>
      <c r="C30" s="106" t="s">
        <v>134</v>
      </c>
      <c r="D30" s="107" t="s">
        <v>135</v>
      </c>
      <c r="E30" s="108">
        <v>24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</row>
    <row r="31" spans="1:249" x14ac:dyDescent="0.2">
      <c r="A31" s="167" t="s">
        <v>525</v>
      </c>
      <c r="B31" s="167"/>
      <c r="C31" s="168" t="s">
        <v>526</v>
      </c>
      <c r="D31" s="168"/>
      <c r="E31" s="16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</row>
    <row r="32" spans="1:249" x14ac:dyDescent="0.2">
      <c r="A32" s="115"/>
      <c r="B32" s="115"/>
      <c r="C32" s="115"/>
      <c r="D32" s="115"/>
      <c r="E32" s="115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</row>
    <row r="33" spans="1:249" ht="24" x14ac:dyDescent="0.2">
      <c r="A33" s="116">
        <v>1</v>
      </c>
      <c r="B33" s="105" t="s">
        <v>527</v>
      </c>
      <c r="C33" s="106" t="s">
        <v>528</v>
      </c>
      <c r="D33" s="107" t="s">
        <v>135</v>
      </c>
      <c r="E33" s="108">
        <v>1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</row>
    <row r="34" spans="1:249" x14ac:dyDescent="0.2">
      <c r="A34" s="116">
        <v>2</v>
      </c>
      <c r="B34" s="105" t="s">
        <v>529</v>
      </c>
      <c r="C34" s="106" t="s">
        <v>530</v>
      </c>
      <c r="D34" s="107" t="s">
        <v>338</v>
      </c>
      <c r="E34" s="108">
        <v>0.01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</row>
    <row r="35" spans="1:249" x14ac:dyDescent="0.2">
      <c r="A35" s="115"/>
      <c r="B35" s="115"/>
      <c r="C35" s="115"/>
      <c r="D35" s="115"/>
      <c r="E35" s="115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</row>
    <row r="36" spans="1:249" x14ac:dyDescent="0.2">
      <c r="A36" s="167" t="s">
        <v>525</v>
      </c>
      <c r="B36" s="167"/>
      <c r="C36" s="168" t="s">
        <v>531</v>
      </c>
      <c r="D36" s="168"/>
      <c r="E36" s="16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</row>
    <row r="37" spans="1:249" x14ac:dyDescent="0.2">
      <c r="A37" s="115"/>
      <c r="B37" s="115"/>
      <c r="C37" s="115"/>
      <c r="D37" s="115"/>
      <c r="E37" s="115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</row>
    <row r="38" spans="1:249" ht="24" x14ac:dyDescent="0.2">
      <c r="A38" s="116">
        <v>1</v>
      </c>
      <c r="B38" s="105" t="s">
        <v>532</v>
      </c>
      <c r="C38" s="106" t="s">
        <v>533</v>
      </c>
      <c r="D38" s="107" t="s">
        <v>30</v>
      </c>
      <c r="E38" s="108">
        <v>8.0000000000000002E-3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</row>
    <row r="39" spans="1:249" ht="24" x14ac:dyDescent="0.2">
      <c r="A39" s="116">
        <v>2</v>
      </c>
      <c r="B39" s="105" t="s">
        <v>534</v>
      </c>
      <c r="C39" s="106" t="s">
        <v>535</v>
      </c>
      <c r="D39" s="107" t="s">
        <v>135</v>
      </c>
      <c r="E39" s="108">
        <v>1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</row>
    <row r="40" spans="1:249" ht="48" x14ac:dyDescent="0.2">
      <c r="A40" s="116">
        <v>5</v>
      </c>
      <c r="B40" s="105" t="s">
        <v>536</v>
      </c>
      <c r="C40" s="106" t="s">
        <v>537</v>
      </c>
      <c r="D40" s="107" t="s">
        <v>538</v>
      </c>
      <c r="E40" s="108">
        <v>0.09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</row>
    <row r="41" spans="1:249" ht="24" x14ac:dyDescent="0.2">
      <c r="A41" s="116">
        <v>6</v>
      </c>
      <c r="B41" s="105" t="s">
        <v>539</v>
      </c>
      <c r="C41" s="106" t="s">
        <v>540</v>
      </c>
      <c r="D41" s="107" t="s">
        <v>135</v>
      </c>
      <c r="E41" s="108">
        <v>1.39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</row>
    <row r="42" spans="1:249" ht="24" x14ac:dyDescent="0.2">
      <c r="A42" s="116">
        <v>7</v>
      </c>
      <c r="B42" s="105" t="s">
        <v>541</v>
      </c>
      <c r="C42" s="106" t="s">
        <v>542</v>
      </c>
      <c r="D42" s="107" t="s">
        <v>135</v>
      </c>
      <c r="E42" s="108">
        <v>1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</row>
    <row r="43" spans="1:249" ht="12.75" customHeight="1" x14ac:dyDescent="0.2">
      <c r="A43" s="116"/>
      <c r="B43" s="172" t="s">
        <v>605</v>
      </c>
      <c r="C43" s="173"/>
      <c r="D43" s="125" t="s">
        <v>606</v>
      </c>
      <c r="E43" s="126">
        <v>8063055.0044999989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</row>
    <row r="44" spans="1:249" ht="24.75" customHeight="1" x14ac:dyDescent="0.2">
      <c r="A44" s="114"/>
      <c r="B44" s="171"/>
      <c r="C44" s="171"/>
      <c r="D44" s="123"/>
      <c r="E44" s="124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</row>
    <row r="45" spans="1:249" s="83" customFormat="1" ht="13.5" x14ac:dyDescent="0.25">
      <c r="A45" s="93"/>
      <c r="B45" s="127" t="s">
        <v>608</v>
      </c>
      <c r="C45" s="94"/>
      <c r="D45" s="94"/>
      <c r="E45" s="74"/>
    </row>
    <row r="46" spans="1:249" ht="16.5" x14ac:dyDescent="0.25">
      <c r="A46" s="93"/>
      <c r="B46" s="127" t="s">
        <v>613</v>
      </c>
      <c r="C46" s="121"/>
      <c r="D46" s="122"/>
      <c r="E46" s="170">
        <f>F44+F45</f>
        <v>0</v>
      </c>
      <c r="F46" s="170"/>
    </row>
    <row r="47" spans="1:249" s="83" customFormat="1" ht="13.5" x14ac:dyDescent="0.25">
      <c r="A47" s="93"/>
      <c r="B47" s="94" t="s">
        <v>520</v>
      </c>
      <c r="C47" s="94"/>
      <c r="D47" s="94"/>
      <c r="E47" s="74"/>
    </row>
    <row r="48" spans="1:249" s="83" customFormat="1" ht="13.5" x14ac:dyDescent="0.25">
      <c r="A48" s="93"/>
      <c r="B48" s="94" t="s">
        <v>521</v>
      </c>
      <c r="C48" s="94"/>
      <c r="D48" s="94"/>
      <c r="E48" s="74"/>
    </row>
    <row r="49" spans="1:5" ht="90.75" customHeight="1" x14ac:dyDescent="0.25">
      <c r="A49" s="93"/>
      <c r="B49" s="166" t="s">
        <v>603</v>
      </c>
      <c r="C49" s="166"/>
      <c r="D49" s="166"/>
      <c r="E49" s="166"/>
    </row>
    <row r="50" spans="1:5" ht="24.75" customHeight="1" x14ac:dyDescent="0.25">
      <c r="A50" s="93"/>
      <c r="B50" s="166" t="s">
        <v>604</v>
      </c>
      <c r="C50" s="166"/>
      <c r="D50" s="166"/>
      <c r="E50" s="166"/>
    </row>
    <row r="51" spans="1:5" x14ac:dyDescent="0.2">
      <c r="A51" s="77"/>
      <c r="B51" s="84"/>
      <c r="C51" s="75"/>
      <c r="D51" s="75"/>
      <c r="E51" s="76"/>
    </row>
    <row r="52" spans="1:5" ht="12.75" customHeight="1" x14ac:dyDescent="0.2">
      <c r="A52" s="77"/>
      <c r="B52" s="169" t="s">
        <v>496</v>
      </c>
      <c r="C52" s="169"/>
      <c r="D52" s="169"/>
      <c r="E52" s="169"/>
    </row>
    <row r="53" spans="1:5" ht="12.75" customHeight="1" x14ac:dyDescent="0.2">
      <c r="A53" s="77"/>
      <c r="B53" s="151" t="s">
        <v>497</v>
      </c>
      <c r="C53" s="152"/>
      <c r="D53" s="152"/>
      <c r="E53" s="85"/>
    </row>
    <row r="54" spans="1:5" ht="26.25" customHeight="1" x14ac:dyDescent="0.2">
      <c r="A54" s="77"/>
      <c r="B54" s="153" t="s">
        <v>498</v>
      </c>
      <c r="C54" s="153"/>
      <c r="D54" s="153"/>
      <c r="E54" s="153"/>
    </row>
    <row r="55" spans="1:5" ht="12.75" customHeight="1" x14ac:dyDescent="0.2">
      <c r="A55" s="77"/>
      <c r="B55" s="151" t="s">
        <v>499</v>
      </c>
      <c r="C55" s="152"/>
      <c r="D55" s="152"/>
      <c r="E55" s="85"/>
    </row>
    <row r="56" spans="1:5" x14ac:dyDescent="0.2">
      <c r="A56" s="77"/>
      <c r="B56" s="86" t="s">
        <v>500</v>
      </c>
      <c r="C56" s="86"/>
      <c r="D56" s="86"/>
      <c r="E56" s="78"/>
    </row>
    <row r="57" spans="1:5" ht="16.5" customHeight="1" x14ac:dyDescent="0.2">
      <c r="A57" s="77"/>
      <c r="B57" s="153" t="s">
        <v>501</v>
      </c>
      <c r="C57" s="153"/>
      <c r="D57" s="153"/>
      <c r="E57" s="153"/>
    </row>
    <row r="58" spans="1:5" x14ac:dyDescent="0.2">
      <c r="A58" s="79"/>
      <c r="B58" s="86" t="s">
        <v>502</v>
      </c>
      <c r="C58" s="86"/>
      <c r="D58" s="86"/>
      <c r="E58" s="80"/>
    </row>
    <row r="59" spans="1:5" x14ac:dyDescent="0.2">
      <c r="A59" s="81"/>
      <c r="B59" s="86" t="s">
        <v>503</v>
      </c>
      <c r="C59" s="86"/>
      <c r="D59" s="86"/>
      <c r="E59" s="80"/>
    </row>
    <row r="60" spans="1:5" x14ac:dyDescent="0.2">
      <c r="A60" s="81"/>
      <c r="B60" s="86" t="s">
        <v>504</v>
      </c>
      <c r="C60" s="86"/>
      <c r="D60" s="86"/>
      <c r="E60" s="80"/>
    </row>
    <row r="61" spans="1:5" x14ac:dyDescent="0.2">
      <c r="A61" s="81"/>
      <c r="B61" s="86" t="s">
        <v>505</v>
      </c>
      <c r="C61" s="86"/>
      <c r="D61" s="86"/>
      <c r="E61" s="80"/>
    </row>
    <row r="62" spans="1:5" x14ac:dyDescent="0.2">
      <c r="A62" s="81"/>
      <c r="B62" s="86" t="s">
        <v>506</v>
      </c>
      <c r="C62" s="86"/>
      <c r="D62" s="86"/>
      <c r="E62" s="80"/>
    </row>
    <row r="63" spans="1:5" x14ac:dyDescent="0.2">
      <c r="A63" s="81"/>
      <c r="B63" s="86" t="s">
        <v>507</v>
      </c>
      <c r="C63" s="86"/>
      <c r="D63" s="86"/>
      <c r="E63" s="80"/>
    </row>
    <row r="64" spans="1:5" x14ac:dyDescent="0.2">
      <c r="A64" s="81"/>
      <c r="B64" s="86" t="s">
        <v>508</v>
      </c>
      <c r="C64" s="86"/>
      <c r="D64" s="86"/>
      <c r="E64" s="80"/>
    </row>
    <row r="65" spans="1:8" x14ac:dyDescent="0.2">
      <c r="A65" s="81"/>
      <c r="B65" s="86" t="s">
        <v>509</v>
      </c>
      <c r="C65" s="86"/>
      <c r="D65" s="86"/>
      <c r="E65" s="80"/>
    </row>
    <row r="66" spans="1:8" ht="12.75" customHeight="1" x14ac:dyDescent="0.2">
      <c r="A66" s="81"/>
      <c r="B66" s="153" t="s">
        <v>510</v>
      </c>
      <c r="C66" s="153"/>
      <c r="D66" s="153"/>
      <c r="E66" s="80"/>
    </row>
    <row r="67" spans="1:8" ht="23.25" customHeight="1" x14ac:dyDescent="0.2">
      <c r="A67" s="81"/>
      <c r="B67" s="153" t="s">
        <v>511</v>
      </c>
      <c r="C67" s="153"/>
      <c r="D67" s="153"/>
      <c r="E67" s="153"/>
    </row>
    <row r="68" spans="1:8" ht="12.75" customHeight="1" x14ac:dyDescent="0.2">
      <c r="A68" s="81"/>
      <c r="B68" s="153" t="s">
        <v>512</v>
      </c>
      <c r="C68" s="153"/>
      <c r="D68" s="153"/>
      <c r="E68" s="153"/>
    </row>
    <row r="69" spans="1:8" x14ac:dyDescent="0.2">
      <c r="A69" s="81"/>
      <c r="B69" s="154" t="s">
        <v>513</v>
      </c>
      <c r="C69" s="154"/>
      <c r="D69" s="154"/>
      <c r="E69" s="154"/>
    </row>
    <row r="70" spans="1:8" ht="59.25" customHeight="1" x14ac:dyDescent="0.2">
      <c r="A70" s="81"/>
      <c r="B70" s="153" t="s">
        <v>514</v>
      </c>
      <c r="C70" s="153"/>
      <c r="D70" s="153"/>
      <c r="E70" s="86"/>
    </row>
    <row r="71" spans="1:8" x14ac:dyDescent="0.2">
      <c r="A71" s="81"/>
      <c r="B71" s="86" t="s">
        <v>515</v>
      </c>
      <c r="C71" s="86"/>
      <c r="D71" s="86"/>
      <c r="E71" s="86"/>
    </row>
    <row r="72" spans="1:8" x14ac:dyDescent="0.2">
      <c r="A72" s="81"/>
      <c r="B72" s="86"/>
      <c r="C72" s="86"/>
      <c r="D72" s="86"/>
      <c r="E72" s="86"/>
    </row>
    <row r="73" spans="1:8" ht="13.5" x14ac:dyDescent="0.25">
      <c r="A73" s="73"/>
      <c r="B73" s="85"/>
      <c r="C73" s="85"/>
      <c r="D73" s="85"/>
      <c r="E73" s="85"/>
      <c r="F73" s="113"/>
      <c r="H73" s="113"/>
    </row>
    <row r="74" spans="1:8" ht="12.75" customHeight="1" x14ac:dyDescent="0.2">
      <c r="B74" s="160" t="s">
        <v>516</v>
      </c>
      <c r="C74" s="161"/>
      <c r="D74" s="162"/>
      <c r="E74" s="162"/>
      <c r="F74" s="112"/>
      <c r="H74" s="112"/>
    </row>
    <row r="75" spans="1:8" x14ac:dyDescent="0.2">
      <c r="B75" s="82" t="s">
        <v>517</v>
      </c>
      <c r="C75" s="82"/>
      <c r="D75" s="150" t="s">
        <v>518</v>
      </c>
      <c r="E75" s="150"/>
    </row>
  </sheetData>
  <mergeCells count="30">
    <mergeCell ref="C1:E1"/>
    <mergeCell ref="B53:D53"/>
    <mergeCell ref="B54:E54"/>
    <mergeCell ref="C6:E6"/>
    <mergeCell ref="C2:E2"/>
    <mergeCell ref="B50:E50"/>
    <mergeCell ref="B49:E49"/>
    <mergeCell ref="A31:B31"/>
    <mergeCell ref="C31:E31"/>
    <mergeCell ref="B52:E52"/>
    <mergeCell ref="A36:B36"/>
    <mergeCell ref="C36:E36"/>
    <mergeCell ref="E46:F46"/>
    <mergeCell ref="B44:C44"/>
    <mergeCell ref="B43:C43"/>
    <mergeCell ref="A13:A16"/>
    <mergeCell ref="B13:B16"/>
    <mergeCell ref="C13:C16"/>
    <mergeCell ref="D13:D16"/>
    <mergeCell ref="E13:E16"/>
    <mergeCell ref="B74:C74"/>
    <mergeCell ref="D74:E74"/>
    <mergeCell ref="D75:E75"/>
    <mergeCell ref="B55:D55"/>
    <mergeCell ref="B66:D66"/>
    <mergeCell ref="B68:E68"/>
    <mergeCell ref="B69:E69"/>
    <mergeCell ref="B70:D70"/>
    <mergeCell ref="B57:E57"/>
    <mergeCell ref="B67:E67"/>
  </mergeCells>
  <printOptions horizontalCentered="1"/>
  <pageMargins left="0.39370078740157499" right="0.39370078740157499" top="0.78740157480314998" bottom="0.39370078740157499" header="0" footer="0"/>
  <pageSetup paperSize="9" fitToHeight="0" orientation="portrait" r:id="rId1"/>
  <headerFooter>
    <oddHeader>&amp;CСтраница &amp;P из &amp;N</oddHeader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4"/>
  <sheetViews>
    <sheetView workbookViewId="0"/>
  </sheetViews>
  <sheetFormatPr defaultRowHeight="12.75" x14ac:dyDescent="0.2"/>
  <sheetData>
    <row r="1" spans="1:255" x14ac:dyDescent="0.2">
      <c r="B1" t="s">
        <v>349</v>
      </c>
    </row>
    <row r="3" spans="1:255" x14ac:dyDescent="0.2">
      <c r="A3">
        <v>3</v>
      </c>
      <c r="B3" t="s">
        <v>350</v>
      </c>
    </row>
    <row r="4" spans="1:255" x14ac:dyDescent="0.2">
      <c r="A4">
        <v>2</v>
      </c>
      <c r="B4" t="s">
        <v>351</v>
      </c>
    </row>
    <row r="5" spans="1:255" x14ac:dyDescent="0.2">
      <c r="A5">
        <v>0</v>
      </c>
      <c r="B5" t="s">
        <v>352</v>
      </c>
    </row>
    <row r="6" spans="1:255" x14ac:dyDescent="0.2">
      <c r="A6">
        <v>1</v>
      </c>
      <c r="B6" t="s">
        <v>353</v>
      </c>
    </row>
    <row r="7" spans="1:255" x14ac:dyDescent="0.2">
      <c r="A7">
        <v>0</v>
      </c>
      <c r="B7" t="s">
        <v>354</v>
      </c>
    </row>
    <row r="8" spans="1:255" x14ac:dyDescent="0.2">
      <c r="A8">
        <v>2</v>
      </c>
      <c r="B8" t="s">
        <v>355</v>
      </c>
    </row>
    <row r="9" spans="1:255" x14ac:dyDescent="0.2">
      <c r="A9">
        <v>0</v>
      </c>
      <c r="B9" t="s">
        <v>356</v>
      </c>
    </row>
    <row r="13" spans="1:255" x14ac:dyDescent="0.2">
      <c r="A13">
        <v>3</v>
      </c>
      <c r="B13" t="s">
        <v>385</v>
      </c>
      <c r="D13" t="s">
        <v>386</v>
      </c>
      <c r="F13" t="s">
        <v>387</v>
      </c>
    </row>
    <row r="14" spans="1:255" x14ac:dyDescent="0.2">
      <c r="A14">
        <v>513</v>
      </c>
      <c r="B14" t="s">
        <v>389</v>
      </c>
      <c r="D14" t="s">
        <v>386</v>
      </c>
      <c r="F14" t="s">
        <v>387</v>
      </c>
      <c r="AY14" t="e">
        <f>SUM('1.Лок.смета.и.Акт'!AM18:'1.Лок.смета.и.Акт'!#REF!)</f>
        <v>#REF!</v>
      </c>
      <c r="AZ14" t="e">
        <f>SUM('1.Лок.смета.и.Акт'!AN18:'1.Лок.смета.и.Акт'!#REF!)</f>
        <v>#REF!</v>
      </c>
      <c r="BA14" t="e">
        <f>SUM('1.Лок.смета.и.Акт'!AO18:'1.Лок.смета.и.Акт'!#REF!)</f>
        <v>#REF!</v>
      </c>
      <c r="BB14" t="e">
        <f>SUM('1.Лок.смета.и.Акт'!AP18:'1.Лок.смета.и.Акт'!#REF!)</f>
        <v>#REF!</v>
      </c>
      <c r="BC14" t="e">
        <f>SUM('1.Лок.смета.и.Акт'!AQ18:'1.Лок.смета.и.Акт'!#REF!)</f>
        <v>#REF!</v>
      </c>
      <c r="BD14" t="e">
        <f>SUM('1.Лок.смета.и.Акт'!AR18:'1.Лок.смета.и.Акт'!#REF!)</f>
        <v>#REF!</v>
      </c>
      <c r="CW14" t="e">
        <f>Source!U45</f>
        <v>#REF!</v>
      </c>
      <c r="CX14" t="e">
        <f>Source!V45</f>
        <v>#REF!</v>
      </c>
      <c r="CY14" t="e">
        <f>Source!O45</f>
        <v>#REF!</v>
      </c>
      <c r="CZ14" t="e">
        <f>Source!S45</f>
        <v>#REF!</v>
      </c>
      <c r="DA14" t="e">
        <f>Source!Q45</f>
        <v>#REF!</v>
      </c>
      <c r="DB14" t="e">
        <f>Source!R45</f>
        <v>#REF!</v>
      </c>
      <c r="DC14" t="e">
        <f>Source!P45</f>
        <v>#REF!</v>
      </c>
      <c r="DD14">
        <f>Source!AO45</f>
        <v>0</v>
      </c>
      <c r="DE14" t="e">
        <f>Source!AV45</f>
        <v>#REF!</v>
      </c>
      <c r="DF14" t="e">
        <f>Source!AW45</f>
        <v>#REF!</v>
      </c>
      <c r="DG14">
        <f>Source!AX45</f>
        <v>0</v>
      </c>
      <c r="DH14" t="e">
        <f>Source!AY45</f>
        <v>#REF!</v>
      </c>
      <c r="DI14">
        <f>Source!AP45</f>
        <v>0</v>
      </c>
      <c r="DJ14">
        <f>Source!AQ45</f>
        <v>0</v>
      </c>
      <c r="DK14">
        <f>Source!AZ45</f>
        <v>0</v>
      </c>
      <c r="DL14" t="e">
        <f>Source!T45</f>
        <v>#REF!</v>
      </c>
      <c r="DM14" t="e">
        <f>Source!W45</f>
        <v>#REF!</v>
      </c>
      <c r="DN14" t="e">
        <f>Source!X45</f>
        <v>#REF!</v>
      </c>
      <c r="DO14" t="e">
        <f>Source!Y45</f>
        <v>#REF!</v>
      </c>
      <c r="DP14" t="e">
        <f>Source!AR45</f>
        <v>#REF!</v>
      </c>
      <c r="DQ14" t="e">
        <f>Source!AS45</f>
        <v>#REF!</v>
      </c>
      <c r="DR14" t="e">
        <f>Source!AT45</f>
        <v>#REF!</v>
      </c>
      <c r="DS14">
        <f>Source!AP45</f>
        <v>0</v>
      </c>
      <c r="DT14" t="e">
        <f>Source!AU45</f>
        <v>#REF!</v>
      </c>
      <c r="DU14" t="e">
        <f>Source!AS45+Source!AT45</f>
        <v>#REF!</v>
      </c>
      <c r="DW14" t="e">
        <f>Source!BA45</f>
        <v>#REF!</v>
      </c>
      <c r="DX14">
        <f>Source!BB45</f>
        <v>0</v>
      </c>
      <c r="DY14">
        <f>Source!BC45</f>
        <v>0</v>
      </c>
      <c r="DZ14">
        <f>Source!BD45</f>
        <v>0</v>
      </c>
      <c r="ET14" t="e">
        <f>Source!U45</f>
        <v>#REF!</v>
      </c>
      <c r="EU14" t="e">
        <f>Source!V45</f>
        <v>#REF!</v>
      </c>
      <c r="EV14" t="e">
        <f>SUM('1.Лок.смета.и.Акт'!GD18:'1.Лок.смета.и.Акт'!#REF!)</f>
        <v>#REF!</v>
      </c>
      <c r="EW14" t="e">
        <f>SUM('1.Лок.смета.и.Акт'!GE18:'1.Лок.смета.и.Акт'!#REF!)</f>
        <v>#REF!</v>
      </c>
      <c r="EX14" t="e">
        <f>SUM('1.Лок.смета.и.Акт'!GF18:'1.Лок.смета.и.Акт'!#REF!)</f>
        <v>#REF!</v>
      </c>
      <c r="EY14" t="e">
        <f>SUM('1.Лок.смета.и.Акт'!GG18:'1.Лок.смета.и.Акт'!#REF!)</f>
        <v>#REF!</v>
      </c>
      <c r="EZ14" t="e">
        <f>SUM('1.Лок.смета.и.Акт'!GH18:'1.Лок.смета.и.Акт'!#REF!)</f>
        <v>#REF!</v>
      </c>
      <c r="FA14" t="e">
        <f>SUM('1.Лок.смета.и.Акт'!GI18:'1.Лок.смета.и.Акт'!#REF!)</f>
        <v>#REF!</v>
      </c>
      <c r="FB14" t="e">
        <f>SUM('1.Лок.смета.и.Акт'!GJ18:'1.Лок.смета.и.Акт'!#REF!)</f>
        <v>#REF!</v>
      </c>
      <c r="FC14" t="e">
        <f>SUM('1.Лок.смета.и.Акт'!GK18:'1.Лок.смета.и.Акт'!#REF!)</f>
        <v>#REF!</v>
      </c>
      <c r="FD14" t="e">
        <f>SUM('1.Лок.смета.и.Акт'!GL18:'1.Лок.смета.и.Акт'!#REF!)</f>
        <v>#REF!</v>
      </c>
      <c r="FE14" t="e">
        <f>SUM('1.Лок.смета.и.Акт'!GM18:'1.Лок.смета.и.Акт'!#REF!)</f>
        <v>#REF!</v>
      </c>
      <c r="FF14" t="e">
        <f>SUM('1.Лок.смета.и.Акт'!GN18:'1.Лок.смета.и.Акт'!#REF!)</f>
        <v>#REF!</v>
      </c>
      <c r="FG14" t="e">
        <f>SUM('1.Лок.смета.и.Акт'!GO18:'1.Лок.смета.и.Акт'!#REF!)</f>
        <v>#REF!</v>
      </c>
      <c r="FH14" t="e">
        <f>SUM('1.Лок.смета.и.Акт'!GP18:'1.Лок.смета.и.Акт'!#REF!)</f>
        <v>#REF!</v>
      </c>
      <c r="FI14" t="e">
        <f>SUM('1.Лок.смета.и.Акт'!GQ18:'1.Лок.смета.и.Акт'!#REF!)</f>
        <v>#REF!</v>
      </c>
      <c r="FJ14" t="e">
        <f>SUM('1.Лок.смета.и.Акт'!GR18:'1.Лок.смета.и.Акт'!#REF!)</f>
        <v>#REF!</v>
      </c>
      <c r="FK14" t="e">
        <f>SUM('1.Лок.смета.и.Акт'!GS18:'1.Лок.смета.и.Акт'!#REF!)</f>
        <v>#REF!</v>
      </c>
      <c r="FL14" t="e">
        <f>SUM('1.Лок.смета.и.Акт'!GT18:'1.Лок.смета.и.Акт'!#REF!)</f>
        <v>#REF!</v>
      </c>
      <c r="FM14" t="e">
        <f>SUM('1.Лок.смета.и.Акт'!GU18:'1.Лок.смета.и.Акт'!#REF!)</f>
        <v>#REF!</v>
      </c>
      <c r="FN14" t="e">
        <f>SUM('1.Лок.смета.и.Акт'!GV18:'1.Лок.смета.и.Акт'!#REF!)</f>
        <v>#REF!</v>
      </c>
      <c r="FO14" t="e">
        <f>SUM('1.Лок.смета.и.Акт'!GW18:'1.Лок.смета.и.Акт'!#REF!)</f>
        <v>#REF!</v>
      </c>
      <c r="FP14" t="e">
        <f>SUM('1.Лок.смета.и.Акт'!GX18:'1.Лок.смета.и.Акт'!#REF!)</f>
        <v>#REF!</v>
      </c>
      <c r="FQ14" t="e">
        <f>SUM('1.Лок.смета.и.Акт'!GY18:'1.Лок.смета.и.Акт'!#REF!)</f>
        <v>#REF!</v>
      </c>
      <c r="FR14" t="e">
        <f>SUM('1.Лок.смета.и.Акт'!GV18:'1.Лок.смета.и.Акт'!#REF!)+SUM('1.Лок.смета.и.Акт'!GW18:'1.Лок.смета.и.Акт'!#REF!)</f>
        <v>#REF!</v>
      </c>
      <c r="FS14" t="e">
        <f>SUM('1.Лок.смета.и.Акт'!HA18:'1.Лок.смета.и.Акт'!#REF!)</f>
        <v>#REF!</v>
      </c>
      <c r="FT14" t="e">
        <f>SUM('1.Лок.смета.и.Акт'!HB18:'1.Лок.смета.и.Акт'!#REF!)</f>
        <v>#REF!</v>
      </c>
      <c r="FU14" t="e">
        <f>SUM('1.Лок.смета.и.Акт'!HC18:'1.Лок.смета.и.Акт'!#REF!)</f>
        <v>#REF!</v>
      </c>
      <c r="FV14" t="e">
        <f>SUM('1.Лок.смета.и.Акт'!HD18:'1.Лок.смета.и.Акт'!#REF!)</f>
        <v>#REF!</v>
      </c>
      <c r="FW14" t="e">
        <f>SUM('1.Лок.смета.и.Акт'!HE18:'1.Лок.смета.и.Акт'!#REF!)</f>
        <v>#REF!</v>
      </c>
      <c r="FX14" t="e">
        <f>SUMIF('1.Лок.смета.и.Акт'!CP18:'1.Лок.смета.и.Акт'!#REF!,1,'1.Лок.смета.и.Акт'!GE18:'1.Лок.смета.и.Акт'!#REF!)</f>
        <v>#REF!</v>
      </c>
      <c r="FY14" t="e">
        <f>SUMIF('1.Лок.смета.и.Акт'!CP18:'1.Лок.смета.и.Акт'!#REF!,2,'1.Лок.смета.и.Акт'!GE18:'1.Лок.смета.и.Акт'!#REF!)</f>
        <v>#REF!</v>
      </c>
      <c r="FZ14" t="e">
        <f>SUMIF('1.Лок.смета.и.Акт'!CP18:'1.Лок.смета.и.Акт'!#REF!,5,'1.Лок.смета.и.Акт'!GE18:'1.Лок.смета.и.Акт'!#REF!)</f>
        <v>#REF!</v>
      </c>
      <c r="GA14" t="e">
        <f>SUMIF('1.Лок.смета.и.Акт'!CP18:'1.Лок.смета.и.Акт'!#REF!,4,'1.Лок.смета.и.Акт'!GE18:'1.Лок.смета.и.Акт'!#REF!)</f>
        <v>#REF!</v>
      </c>
      <c r="GB14" t="e">
        <f>SUMIF('1.Лок.смета.и.Акт'!CP18:'1.Лок.смета.и.Акт'!#REF!,1,'1.Лок.смета.и.Акт'!GF18:'1.Лок.смета.и.Акт'!#REF!)</f>
        <v>#REF!</v>
      </c>
      <c r="GC14" t="e">
        <f>SUMIF('1.Лок.смета.и.Акт'!CP18:'1.Лок.смета.и.Акт'!#REF!,2,'1.Лок.смета.и.Акт'!GF18:'1.Лок.смета.и.Акт'!#REF!)</f>
        <v>#REF!</v>
      </c>
      <c r="GD14" t="e">
        <f>SUMIF('1.Лок.смета.и.Акт'!CP18:'1.Лок.смета.и.Акт'!#REF!,4,'1.Лок.смета.и.Акт'!GF18:'1.Лок.смета.и.Акт'!#REF!)</f>
        <v>#REF!</v>
      </c>
      <c r="GE14" t="e">
        <f>SUMIF('1.Лок.смета.и.Акт'!CP18:'1.Лок.смета.и.Акт'!#REF!,1,'1.Лок.смета.и.Акт'!GK18:'1.Лок.смета.и.Акт'!#REF!)</f>
        <v>#REF!</v>
      </c>
      <c r="GF14" t="e">
        <f>SUMIF('1.Лок.смета.и.Акт'!CP18:'1.Лок.смета.и.Акт'!#REF!,2,'1.Лок.смета.и.Акт'!GK18:'1.Лок.смета.и.Акт'!#REF!)</f>
        <v>#REF!</v>
      </c>
      <c r="GG14" t="e">
        <f>SUMIF('1.Лок.смета.и.Акт'!CP18:'1.Лок.смета.и.Акт'!#REF!,4,'1.Лок.смета.и.Акт'!GK18:'1.Лок.смета.и.Акт'!#REF!)</f>
        <v>#REF!</v>
      </c>
      <c r="IB14" t="e">
        <f>SUM('1.Лок.смета.и.Акт'!HI18:'1.Лок.смета.и.Акт'!#REF!)</f>
        <v>#REF!</v>
      </c>
      <c r="IC14" t="e">
        <f>SUM('1.Лок.смета.и.Акт'!HK18:'1.Лок.смета.и.Акт'!#REF!)</f>
        <v>#REF!</v>
      </c>
      <c r="ID14" t="e">
        <f>SUM('1.Лок.смета.и.Акт'!HM18:'1.Лок.смета.и.Акт'!#REF!)</f>
        <v>#REF!</v>
      </c>
      <c r="IE14" t="e">
        <f>SUM('1.Лок.смета.и.Акт'!HO18:'1.Лок.смета.и.Акт'!#REF!)</f>
        <v>#REF!</v>
      </c>
      <c r="IF14" t="e">
        <f>SUM('1.Лок.смета.и.Акт'!HS18:'1.Лок.смета.и.Акт'!#REF!)</f>
        <v>#REF!</v>
      </c>
      <c r="IG14" t="e">
        <f>SUM('1.Лок.смета.и.Акт'!HT18:'1.Лок.смета.и.Акт'!#REF!)</f>
        <v>#REF!</v>
      </c>
      <c r="IH14" t="e">
        <f>SUM('1.Лок.смета.и.Акт'!HF18:'1.Лок.смета.и.Акт'!#REF!)</f>
        <v>#REF!</v>
      </c>
      <c r="II14" t="e">
        <f>SUM('1.Лок.смета.и.Акт'!HH18:'1.Лок.смета.и.Акт'!#REF!)</f>
        <v>#REF!</v>
      </c>
      <c r="IJ14" t="e">
        <f>SUM('1.Лок.смета.и.Акт'!HJ18:'1.Лок.смета.и.Акт'!#REF!)</f>
        <v>#REF!</v>
      </c>
      <c r="IK14" t="e">
        <f>SUM('1.Лок.смета.и.Акт'!HL18:'1.Лок.смета.и.Акт'!#REF!)</f>
        <v>#REF!</v>
      </c>
      <c r="IL14" t="e">
        <f>SUM('1.Лок.смета.и.Акт'!HN18:'1.Лок.смета.и.Акт'!#REF!)</f>
        <v>#REF!</v>
      </c>
      <c r="IM14" t="e">
        <f>SUM('1.Лок.смета.и.Акт'!HQ18:'1.Лок.смета.и.Акт'!#REF!)</f>
        <v>#REF!</v>
      </c>
      <c r="IN14" t="e">
        <f>SUMIF('1.Лок.смета.и.Акт'!CP18:'1.Лок.смета.и.Акт'!#REF!,1,'1.Лок.смета.и.Акт'!GS18:'1.Лок.смета.и.Акт'!#REF!)</f>
        <v>#REF!</v>
      </c>
      <c r="IO14" t="e">
        <f>SUMIF('1.Лок.смета.и.Акт'!CP18:'1.Лок.смета.и.Акт'!#REF!,2,'1.Лок.смета.и.Акт'!GS18:'1.Лок.смета.и.Акт'!#REF!)</f>
        <v>#REF!</v>
      </c>
      <c r="IP14" t="e">
        <f>SUMIF('1.Лок.смета.и.Акт'!CP18:'1.Лок.смета.и.Акт'!#REF!,5,'1.Лок.смета.и.Акт'!GS18:'1.Лок.смета.и.Акт'!#REF!)</f>
        <v>#REF!</v>
      </c>
      <c r="IQ14" t="e">
        <f>SUMIF('1.Лок.смета.и.Акт'!CP18:'1.Лок.смета.и.Акт'!#REF!,4,'1.Лок.смета.и.Акт'!GS18:'1.Лок.смета.и.Акт'!#REF!)</f>
        <v>#REF!</v>
      </c>
      <c r="IR14" t="e">
        <f>SUMIF('1.Лок.смета.и.Акт'!CP18:'1.Лок.смета.и.Акт'!#REF!,1,'1.Лок.смета.и.Акт'!GT18:'1.Лок.смета.и.Акт'!#REF!)</f>
        <v>#REF!</v>
      </c>
      <c r="IS14" t="e">
        <f>SUMIF('1.Лок.смета.и.Акт'!CP18:'1.Лок.смета.и.Акт'!#REF!,2,'1.Лок.смета.и.Акт'!GT18:'1.Лок.смета.и.Акт'!#REF!)</f>
        <v>#REF!</v>
      </c>
      <c r="IT14" t="e">
        <f>SUMIF('1.Лок.смета.и.Акт'!CP18:'1.Лок.смета.и.Акт'!#REF!,5,'1.Лок.смета.и.Акт'!GT18:'1.Лок.смета.и.Акт'!#REF!)</f>
        <v>#REF!</v>
      </c>
      <c r="IU14" t="e">
        <f>SUMIF('1.Лок.смета.и.Акт'!CP18:'1.Лок.смета.и.Акт'!#REF!,4,'1.Лок.смета.и.Акт'!GT18:'1.Лок.смета.и.Акт'!#REF!)</f>
        <v>#REF!</v>
      </c>
    </row>
    <row r="15" spans="1:255" x14ac:dyDescent="0.2">
      <c r="A15">
        <v>999</v>
      </c>
      <c r="B15" t="s">
        <v>405</v>
      </c>
    </row>
    <row r="194" spans="57:68" x14ac:dyDescent="0.2">
      <c r="BE194" t="e">
        <f>SUMIF('1.Лок.смета.и.Акт'!CP18:'1.Лок.смета.и.Акт'!#REF!,1,'1.Лок.смета.и.Акт'!AP18:'1.Лок.смета.и.Акт'!#REF!)</f>
        <v>#REF!</v>
      </c>
      <c r="BF194" t="e">
        <f>SUMIF('1.Лок.смета.и.Акт'!CP18:'1.Лок.смета.и.Акт'!#REF!,2,'1.Лок.смета.и.Акт'!AP18:'1.Лок.смета.и.Акт'!#REF!)</f>
        <v>#REF!</v>
      </c>
      <c r="BG194" t="e">
        <f>SUMIF('1.Лок.смета.и.Акт'!CP18:'1.Лок.смета.и.Акт'!#REF!,5,'1.Лок.смета.и.Акт'!AP18:'1.Лок.смета.и.Акт'!#REF!)</f>
        <v>#REF!</v>
      </c>
      <c r="BH194" t="e">
        <f>SUMIF('1.Лок.смета.и.Акт'!CP18:'1.Лок.смета.и.Акт'!#REF!,4,'1.Лок.смета.и.Акт'!AP18:'1.Лок.смета.и.Акт'!#REF!)</f>
        <v>#REF!</v>
      </c>
      <c r="BI194" t="e">
        <f>SUMIF('1.Лок.смета.и.Акт'!CP18:'1.Лок.смета.и.Акт'!#REF!,1,'1.Лок.смета.и.Акт'!AQ18:'1.Лок.смета.и.Акт'!#REF!)</f>
        <v>#REF!</v>
      </c>
      <c r="BJ194" t="e">
        <f>SUMIF('1.Лок.смета.и.Акт'!CP18:'1.Лок.смета.и.Акт'!#REF!,2,'1.Лок.смета.и.Акт'!AQ18:'1.Лок.смета.и.Акт'!#REF!)</f>
        <v>#REF!</v>
      </c>
      <c r="BK194" t="e">
        <f>SUMIF('1.Лок.смета.и.Акт'!CP18:'1.Лок.смета.и.Акт'!#REF!,5,'1.Лок.смета.и.Акт'!AQ18:'1.Лок.смета.и.Акт'!#REF!)</f>
        <v>#REF!</v>
      </c>
      <c r="BL194" t="e">
        <f>SUMIF('1.Лок.смета.и.Акт'!CP18:'1.Лок.смета.и.Акт'!#REF!,4,'1.Лок.смета.и.Акт'!AQ18:'1.Лок.смета.и.Акт'!#REF!)</f>
        <v>#REF!</v>
      </c>
      <c r="BM194" t="e">
        <f>SUMIF('1.Лок.смета.и.Акт'!CP18:'1.Лок.смета.и.Акт'!#REF!,1,'1.Лок.смета.и.Акт'!AR18:'1.Лок.смета.и.Акт'!#REF!)</f>
        <v>#REF!</v>
      </c>
      <c r="BN194" t="e">
        <f>SUMIF('1.Лок.смета.и.Акт'!CP18:'1.Лок.смета.и.Акт'!#REF!,2,'1.Лок.смета.и.Акт'!AR18:'1.Лок.смета.и.Акт'!#REF!)</f>
        <v>#REF!</v>
      </c>
      <c r="BO194" t="e">
        <f>SUMIF('1.Лок.смета.и.Акт'!CP18:'1.Лок.смета.и.Акт'!#REF!,5,'1.Лок.смета.и.Акт'!AR18:'1.Лок.смета.и.Акт'!#REF!)</f>
        <v>#REF!</v>
      </c>
      <c r="BP194" t="e">
        <f>SUMIF('1.Лок.смета.и.Акт'!CP18:'1.Лок.смета.и.Акт'!#REF!,4,'1.Лок.смета.и.Акт'!AR18:'1.Лок.смета.и.Акт'!#REF!)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136"/>
  <sheetViews>
    <sheetView workbookViewId="0">
      <selection activeCell="A132" sqref="A132:AN132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28762</v>
      </c>
      <c r="M1">
        <v>66419001</v>
      </c>
      <c r="N1">
        <v>11</v>
      </c>
      <c r="O1">
        <v>11</v>
      </c>
      <c r="P1">
        <v>0</v>
      </c>
      <c r="Q1">
        <v>3</v>
      </c>
      <c r="IF1">
        <v>-1</v>
      </c>
    </row>
    <row r="2" spans="1:246" x14ac:dyDescent="0.2">
      <c r="IF2">
        <v>-1</v>
      </c>
      <c r="IK2" s="23" t="e">
        <f>'2.Материалы'!#REF!</f>
        <v>#REF!</v>
      </c>
      <c r="IL2" t="s">
        <v>449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  <c r="IF4">
        <v>-1</v>
      </c>
    </row>
    <row r="5" spans="1:246" x14ac:dyDescent="0.2">
      <c r="IF5">
        <v>-1</v>
      </c>
      <c r="IK5">
        <v>5</v>
      </c>
      <c r="IL5" t="s">
        <v>368</v>
      </c>
    </row>
    <row r="6" spans="1:246" x14ac:dyDescent="0.2">
      <c r="IF6">
        <v>-1</v>
      </c>
      <c r="IK6">
        <v>50</v>
      </c>
      <c r="IL6" t="s">
        <v>346</v>
      </c>
    </row>
    <row r="7" spans="1:246" x14ac:dyDescent="0.2">
      <c r="IF7">
        <v>-1</v>
      </c>
      <c r="IK7">
        <v>1</v>
      </c>
      <c r="IL7" t="s">
        <v>406</v>
      </c>
    </row>
    <row r="8" spans="1:246" x14ac:dyDescent="0.2">
      <c r="IF8">
        <v>-1</v>
      </c>
      <c r="IK8" t="e">
        <f>IF((Source!AR45&lt;&gt;'1.Лок.смета.и.Акт'!#REF!),0,1)</f>
        <v>#REF!</v>
      </c>
      <c r="IL8" t="s">
        <v>390</v>
      </c>
    </row>
    <row r="9" spans="1:246" x14ac:dyDescent="0.2">
      <c r="IF9">
        <v>-1</v>
      </c>
      <c r="IK9" s="10" t="s">
        <v>347</v>
      </c>
      <c r="IL9" t="s">
        <v>348</v>
      </c>
    </row>
    <row r="10" spans="1:246" x14ac:dyDescent="0.2">
      <c r="IF10">
        <v>-1</v>
      </c>
      <c r="IK10">
        <v>1</v>
      </c>
      <c r="IL10" t="s">
        <v>343</v>
      </c>
    </row>
    <row r="11" spans="1:246" x14ac:dyDescent="0.2">
      <c r="IF11">
        <v>-1</v>
      </c>
      <c r="IK11" t="s">
        <v>344</v>
      </c>
      <c r="IL11" t="s">
        <v>345</v>
      </c>
    </row>
    <row r="12" spans="1:246" x14ac:dyDescent="0.2">
      <c r="A12" s="1">
        <v>1</v>
      </c>
      <c r="B12" s="1">
        <v>131</v>
      </c>
      <c r="C12" s="1">
        <v>0</v>
      </c>
      <c r="D12" s="1">
        <f>ROW(A75)</f>
        <v>75</v>
      </c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131595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2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489201672</v>
      </c>
      <c r="CI12" s="1" t="s">
        <v>6</v>
      </c>
      <c r="CJ12" s="1" t="s">
        <v>6</v>
      </c>
      <c r="CK12" s="1">
        <v>9</v>
      </c>
      <c r="CL12" s="1"/>
      <c r="CM12" s="1"/>
      <c r="CN12" s="1"/>
      <c r="CO12" s="1"/>
      <c r="CP12" s="1"/>
      <c r="CQ12" s="1" t="s">
        <v>342</v>
      </c>
      <c r="CR12" s="1" t="s">
        <v>13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47" x14ac:dyDescent="0.2">
      <c r="IF17">
        <v>-1</v>
      </c>
    </row>
    <row r="18" spans="1:247" x14ac:dyDescent="0.2">
      <c r="A18" s="2">
        <v>52</v>
      </c>
      <c r="B18" s="2">
        <f t="shared" ref="B18:G18" si="0">B75</f>
        <v>131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6.3.6  Электроснабжение 10 кВ. Переустройство сетей.</v>
      </c>
      <c r="G18" s="2" t="str">
        <f t="shared" si="0"/>
        <v>Внеплощадочные сети инженерного обеспечения квартала "Зеленые холмы" г. Калуга.</v>
      </c>
      <c r="H18" s="2"/>
      <c r="I18" s="2"/>
      <c r="J18" s="2"/>
      <c r="K18" s="2"/>
      <c r="L18" s="2"/>
      <c r="M18" s="2"/>
      <c r="N18" s="2"/>
      <c r="O18" s="2" t="e">
        <f t="shared" ref="O18:AT18" si="1">O75</f>
        <v>#REF!</v>
      </c>
      <c r="P18" s="2" t="e">
        <f t="shared" si="1"/>
        <v>#REF!</v>
      </c>
      <c r="Q18" s="2" t="e">
        <f t="shared" si="1"/>
        <v>#REF!</v>
      </c>
      <c r="R18" s="2" t="e">
        <f t="shared" si="1"/>
        <v>#REF!</v>
      </c>
      <c r="S18" s="2" t="e">
        <f t="shared" si="1"/>
        <v>#REF!</v>
      </c>
      <c r="T18" s="2" t="e">
        <f t="shared" si="1"/>
        <v>#REF!</v>
      </c>
      <c r="U18" s="2" t="e">
        <f t="shared" si="1"/>
        <v>#REF!</v>
      </c>
      <c r="V18" s="2" t="e">
        <f t="shared" si="1"/>
        <v>#REF!</v>
      </c>
      <c r="W18" s="2" t="e">
        <f t="shared" si="1"/>
        <v>#REF!</v>
      </c>
      <c r="X18" s="2" t="e">
        <f t="shared" si="1"/>
        <v>#REF!</v>
      </c>
      <c r="Y18" s="2" t="e">
        <f t="shared" si="1"/>
        <v>#REF!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 t="e">
        <f t="shared" si="1"/>
        <v>#REF!</v>
      </c>
      <c r="AS18" s="2" t="e">
        <f t="shared" si="1"/>
        <v>#REF!</v>
      </c>
      <c r="AT18" s="2" t="e">
        <f t="shared" si="1"/>
        <v>#REF!</v>
      </c>
      <c r="AU18" s="2" t="e">
        <f t="shared" ref="AU18:BZ18" si="2">AU75</f>
        <v>#REF!</v>
      </c>
      <c r="AV18" s="2" t="e">
        <f t="shared" si="2"/>
        <v>#REF!</v>
      </c>
      <c r="AW18" s="2" t="e">
        <f t="shared" si="2"/>
        <v>#REF!</v>
      </c>
      <c r="AX18" s="2">
        <f t="shared" si="2"/>
        <v>0</v>
      </c>
      <c r="AY18" s="2" t="e">
        <f t="shared" si="2"/>
        <v>#REF!</v>
      </c>
      <c r="AZ18" s="2">
        <f t="shared" si="2"/>
        <v>0</v>
      </c>
      <c r="BA18" s="2" t="e">
        <f t="shared" si="2"/>
        <v>#REF!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CA75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DG75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EM75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FS75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  <c r="IF18">
        <v>-1</v>
      </c>
    </row>
    <row r="19" spans="1:247" x14ac:dyDescent="0.2">
      <c r="IF19">
        <v>-1</v>
      </c>
    </row>
    <row r="20" spans="1:247" x14ac:dyDescent="0.2">
      <c r="A20" s="1">
        <v>3</v>
      </c>
      <c r="B20" s="1">
        <v>1</v>
      </c>
      <c r="C20" s="1"/>
      <c r="D20" s="1">
        <f>ROW(A45)</f>
        <v>45</v>
      </c>
      <c r="E20" s="1"/>
      <c r="F20" s="1" t="s">
        <v>14</v>
      </c>
      <c r="G20" s="1" t="s">
        <v>15</v>
      </c>
      <c r="H20" s="1" t="s">
        <v>6</v>
      </c>
      <c r="I20" s="1">
        <v>0</v>
      </c>
      <c r="J20" s="1" t="s">
        <v>6</v>
      </c>
      <c r="K20" s="1">
        <v>-1</v>
      </c>
      <c r="L20" s="1" t="s">
        <v>14</v>
      </c>
      <c r="M20" s="1" t="s">
        <v>6</v>
      </c>
      <c r="N20" s="1"/>
      <c r="O20" s="1"/>
      <c r="P20" s="1"/>
      <c r="Q20" s="1"/>
      <c r="R20" s="1"/>
      <c r="S20" s="1">
        <v>0</v>
      </c>
      <c r="T20" s="1"/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  <c r="IF20">
        <v>-1</v>
      </c>
    </row>
    <row r="21" spans="1:247" x14ac:dyDescent="0.2">
      <c r="IF21">
        <v>-1</v>
      </c>
    </row>
    <row r="22" spans="1:247" x14ac:dyDescent="0.2">
      <c r="A22" s="2">
        <v>52</v>
      </c>
      <c r="B22" s="2">
        <f t="shared" ref="B22:G22" si="7">B45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6.3.6</v>
      </c>
      <c r="G22" s="2" t="str">
        <f t="shared" si="7"/>
        <v>Электроснабжение 10 кВ. Переустройство сетей.</v>
      </c>
      <c r="H22" s="2"/>
      <c r="I22" s="2"/>
      <c r="J22" s="2"/>
      <c r="K22" s="2"/>
      <c r="L22" s="2"/>
      <c r="M22" s="2"/>
      <c r="N22" s="2"/>
      <c r="O22" s="2" t="e">
        <f t="shared" ref="O22:AT22" si="8">O45</f>
        <v>#REF!</v>
      </c>
      <c r="P22" s="2" t="e">
        <f t="shared" si="8"/>
        <v>#REF!</v>
      </c>
      <c r="Q22" s="2" t="e">
        <f t="shared" si="8"/>
        <v>#REF!</v>
      </c>
      <c r="R22" s="2" t="e">
        <f t="shared" si="8"/>
        <v>#REF!</v>
      </c>
      <c r="S22" s="2" t="e">
        <f t="shared" si="8"/>
        <v>#REF!</v>
      </c>
      <c r="T22" s="2" t="e">
        <f t="shared" si="8"/>
        <v>#REF!</v>
      </c>
      <c r="U22" s="2" t="e">
        <f t="shared" si="8"/>
        <v>#REF!</v>
      </c>
      <c r="V22" s="2" t="e">
        <f t="shared" si="8"/>
        <v>#REF!</v>
      </c>
      <c r="W22" s="2" t="e">
        <f t="shared" si="8"/>
        <v>#REF!</v>
      </c>
      <c r="X22" s="2" t="e">
        <f t="shared" si="8"/>
        <v>#REF!</v>
      </c>
      <c r="Y22" s="2" t="e">
        <f t="shared" si="8"/>
        <v>#REF!</v>
      </c>
      <c r="Z22" s="2">
        <f t="shared" si="8"/>
        <v>0</v>
      </c>
      <c r="AA22" s="2">
        <f t="shared" si="8"/>
        <v>0</v>
      </c>
      <c r="AB22" s="2" t="e">
        <f t="shared" si="8"/>
        <v>#REF!</v>
      </c>
      <c r="AC22" s="2" t="e">
        <f t="shared" si="8"/>
        <v>#REF!</v>
      </c>
      <c r="AD22" s="2" t="e">
        <f t="shared" si="8"/>
        <v>#REF!</v>
      </c>
      <c r="AE22" s="2" t="e">
        <f t="shared" si="8"/>
        <v>#REF!</v>
      </c>
      <c r="AF22" s="2" t="e">
        <f t="shared" si="8"/>
        <v>#REF!</v>
      </c>
      <c r="AG22" s="2" t="e">
        <f t="shared" si="8"/>
        <v>#REF!</v>
      </c>
      <c r="AH22" s="2" t="e">
        <f t="shared" si="8"/>
        <v>#REF!</v>
      </c>
      <c r="AI22" s="2" t="e">
        <f t="shared" si="8"/>
        <v>#REF!</v>
      </c>
      <c r="AJ22" s="2" t="e">
        <f t="shared" si="8"/>
        <v>#REF!</v>
      </c>
      <c r="AK22" s="2" t="e">
        <f t="shared" si="8"/>
        <v>#REF!</v>
      </c>
      <c r="AL22" s="2" t="e">
        <f t="shared" si="8"/>
        <v>#REF!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 t="e">
        <f t="shared" si="8"/>
        <v>#REF!</v>
      </c>
      <c r="AS22" s="2" t="e">
        <f t="shared" si="8"/>
        <v>#REF!</v>
      </c>
      <c r="AT22" s="2" t="e">
        <f t="shared" si="8"/>
        <v>#REF!</v>
      </c>
      <c r="AU22" s="2" t="e">
        <f t="shared" ref="AU22:BZ22" si="9">AU45</f>
        <v>#REF!</v>
      </c>
      <c r="AV22" s="2" t="e">
        <f t="shared" si="9"/>
        <v>#REF!</v>
      </c>
      <c r="AW22" s="2" t="e">
        <f t="shared" si="9"/>
        <v>#REF!</v>
      </c>
      <c r="AX22" s="2">
        <f t="shared" si="9"/>
        <v>0</v>
      </c>
      <c r="AY22" s="2" t="e">
        <f t="shared" si="9"/>
        <v>#REF!</v>
      </c>
      <c r="AZ22" s="2">
        <f t="shared" si="9"/>
        <v>0</v>
      </c>
      <c r="BA22" s="2" t="e">
        <f t="shared" si="9"/>
        <v>#REF!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 t="e">
        <f t="shared" ref="CA22:DF22" si="10">CA45</f>
        <v>#REF!</v>
      </c>
      <c r="CB22" s="2" t="e">
        <f t="shared" si="10"/>
        <v>#REF!</v>
      </c>
      <c r="CC22" s="2" t="e">
        <f t="shared" si="10"/>
        <v>#REF!</v>
      </c>
      <c r="CD22" s="2" t="e">
        <f t="shared" si="10"/>
        <v>#REF!</v>
      </c>
      <c r="CE22" s="2" t="e">
        <f t="shared" si="10"/>
        <v>#REF!</v>
      </c>
      <c r="CF22" s="2" t="e">
        <f t="shared" si="10"/>
        <v>#REF!</v>
      </c>
      <c r="CG22" s="2">
        <f t="shared" si="10"/>
        <v>0</v>
      </c>
      <c r="CH22" s="2" t="e">
        <f t="shared" si="10"/>
        <v>#REF!</v>
      </c>
      <c r="CI22" s="2">
        <f t="shared" si="10"/>
        <v>0</v>
      </c>
      <c r="CJ22" s="2" t="e">
        <f t="shared" si="10"/>
        <v>#REF!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DG45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EM45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FS45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  <c r="IF22">
        <v>-1</v>
      </c>
    </row>
    <row r="23" spans="1:247" x14ac:dyDescent="0.2">
      <c r="IF23">
        <v>-1</v>
      </c>
    </row>
    <row r="24" spans="1:247" x14ac:dyDescent="0.2">
      <c r="A24">
        <v>17</v>
      </c>
      <c r="B24">
        <v>1</v>
      </c>
      <c r="C24">
        <f>ROW(SmtRes!A2)</f>
        <v>2</v>
      </c>
      <c r="D24">
        <f>ROW(EtalonRes!A2)</f>
        <v>2</v>
      </c>
      <c r="E24" t="s">
        <v>16</v>
      </c>
      <c r="F24" t="s">
        <v>17</v>
      </c>
      <c r="G24" t="s">
        <v>18</v>
      </c>
      <c r="H24" t="s">
        <v>19</v>
      </c>
      <c r="I24">
        <f>'1.Лок.смета.и.Акт'!E18</f>
        <v>0.5</v>
      </c>
      <c r="J24">
        <v>0</v>
      </c>
      <c r="K24">
        <f>ROUND((7+27+317)/1000,7)</f>
        <v>0.35099999999999998</v>
      </c>
      <c r="O24" t="e">
        <f t="shared" ref="O24:O43" si="14">ROUND(CP24,2)</f>
        <v>#REF!</v>
      </c>
      <c r="P24">
        <f t="shared" ref="P24:P43" si="15">ROUND(CQ24*I24,2)</f>
        <v>0</v>
      </c>
      <c r="Q24" t="e">
        <f t="shared" ref="Q24:Q43" si="16">ROUND(CR24*I24,2)</f>
        <v>#REF!</v>
      </c>
      <c r="R24" t="e">
        <f t="shared" ref="R24:R43" si="17">ROUND(CS24*I24,2)</f>
        <v>#REF!</v>
      </c>
      <c r="S24">
        <f t="shared" ref="S24:S43" si="18">ROUND(CT24*I24,2)</f>
        <v>0</v>
      </c>
      <c r="T24">
        <f t="shared" ref="T24:T43" si="19">ROUND(CU24*I24,2)</f>
        <v>0</v>
      </c>
      <c r="U24">
        <f t="shared" ref="U24:U43" si="20">ROUND(CV24*I24,7)</f>
        <v>0</v>
      </c>
      <c r="V24">
        <f t="shared" ref="V24:V43" si="21">ROUND(CW24*I24,7)</f>
        <v>22.5</v>
      </c>
      <c r="W24">
        <f t="shared" ref="W24:W43" si="22">ROUND(CX24*I24,2)</f>
        <v>0</v>
      </c>
      <c r="X24" t="e">
        <f t="shared" ref="X24:X43" si="23">ROUND(CY24,2)</f>
        <v>#REF!</v>
      </c>
      <c r="Y24" t="e">
        <f t="shared" ref="Y24:Y43" si="24">ROUND(CZ24,2)</f>
        <v>#REF!</v>
      </c>
      <c r="AA24">
        <v>70471737</v>
      </c>
      <c r="AB24" t="e">
        <f t="shared" ref="AB24:AB43" si="25">ROUND((AC24+AD24+AF24),2)</f>
        <v>#REF!</v>
      </c>
      <c r="AC24">
        <f t="shared" ref="AC24:AC43" si="26">ROUND((ES24),2)</f>
        <v>0</v>
      </c>
      <c r="AD24" t="e">
        <f t="shared" ref="AD24:AD43" si="27">ROUND((((ET24)-(EU24))+AE24),2)</f>
        <v>#REF!</v>
      </c>
      <c r="AE24" t="e">
        <f>ROUND((EU24),2)</f>
        <v>#REF!</v>
      </c>
      <c r="AF24">
        <f>ROUND((EV24),2)</f>
        <v>0</v>
      </c>
      <c r="AG24">
        <f t="shared" ref="AG24:AG43" si="28">ROUND((AP24),2)</f>
        <v>0</v>
      </c>
      <c r="AH24">
        <f>(EW24)</f>
        <v>0</v>
      </c>
      <c r="AI24">
        <f>(EX24)</f>
        <v>45</v>
      </c>
      <c r="AJ24">
        <f t="shared" ref="AJ24:AJ43" si="29">(AS24)</f>
        <v>0</v>
      </c>
      <c r="AK24" t="e">
        <f>AL24+AM24+AO24</f>
        <v>#REF!</v>
      </c>
      <c r="AL24">
        <v>0</v>
      </c>
      <c r="AM24" s="23" t="e">
        <f>'1.Лок.смета.и.Акт'!#REF!</f>
        <v>#REF!</v>
      </c>
      <c r="AN24" s="23" t="e">
        <f>'1.Лок.смета.и.Акт'!#REF!</f>
        <v>#REF!</v>
      </c>
      <c r="AO24">
        <v>0</v>
      </c>
      <c r="AP24">
        <v>0</v>
      </c>
      <c r="AQ24">
        <v>0</v>
      </c>
      <c r="AR24">
        <v>45</v>
      </c>
      <c r="AS24">
        <v>0</v>
      </c>
      <c r="AT24">
        <v>92</v>
      </c>
      <c r="AU24">
        <v>46</v>
      </c>
      <c r="AV24">
        <v>1</v>
      </c>
      <c r="AW24">
        <v>1</v>
      </c>
      <c r="AZ24">
        <v>1</v>
      </c>
      <c r="BA24">
        <v>36.67</v>
      </c>
      <c r="BB24" t="e">
        <f>'1.Лок.смета.и.Акт'!#REF!</f>
        <v>#REF!</v>
      </c>
      <c r="BC24">
        <v>5.09</v>
      </c>
      <c r="BD24" t="s">
        <v>6</v>
      </c>
      <c r="BE24" t="s">
        <v>6</v>
      </c>
      <c r="BF24" t="s">
        <v>6</v>
      </c>
      <c r="BG24" t="s">
        <v>6</v>
      </c>
      <c r="BH24">
        <v>0</v>
      </c>
      <c r="BI24">
        <v>1</v>
      </c>
      <c r="BJ24" t="s">
        <v>20</v>
      </c>
      <c r="BM24">
        <v>1001</v>
      </c>
      <c r="BN24">
        <v>0</v>
      </c>
      <c r="BO24" t="s">
        <v>6</v>
      </c>
      <c r="BP24">
        <v>0</v>
      </c>
      <c r="BQ24">
        <v>2</v>
      </c>
      <c r="BR24">
        <v>0</v>
      </c>
      <c r="BS24" t="e">
        <f>'1.Лок.смета.и.Акт'!#REF!</f>
        <v>#REF!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6</v>
      </c>
      <c r="BZ24">
        <v>92</v>
      </c>
      <c r="CA24">
        <v>46</v>
      </c>
      <c r="CB24" t="s">
        <v>6</v>
      </c>
      <c r="CE24">
        <v>0</v>
      </c>
      <c r="CF24">
        <v>0</v>
      </c>
      <c r="CG24">
        <v>0</v>
      </c>
      <c r="CM24">
        <v>0</v>
      </c>
      <c r="CN24" t="s">
        <v>6</v>
      </c>
      <c r="CO24">
        <v>0</v>
      </c>
      <c r="CP24" t="e">
        <f t="shared" ref="CP24:CP43" si="30">(P24+Q24+S24)</f>
        <v>#REF!</v>
      </c>
      <c r="CQ24">
        <f t="shared" ref="CQ24:CQ31" si="31">AC24*BC24</f>
        <v>0</v>
      </c>
      <c r="CR24" t="e">
        <f t="shared" ref="CR24:CR31" si="32">(((ET24)*BB24-(EU24)*BS24)+AE24*BS24)</f>
        <v>#REF!</v>
      </c>
      <c r="CS24" t="e">
        <f t="shared" ref="CS24:CS43" si="33">AE24*BS24</f>
        <v>#REF!</v>
      </c>
      <c r="CT24">
        <f t="shared" ref="CT24:CT43" si="34">AF24*BA24</f>
        <v>0</v>
      </c>
      <c r="CU24">
        <f t="shared" ref="CU24:CU43" si="35">AG24</f>
        <v>0</v>
      </c>
      <c r="CV24">
        <f t="shared" ref="CV24:CV43" si="36">AH24</f>
        <v>0</v>
      </c>
      <c r="CW24">
        <f t="shared" ref="CW24:CW43" si="37">AI24</f>
        <v>45</v>
      </c>
      <c r="CX24">
        <f t="shared" ref="CX24:CX43" si="38">AJ24</f>
        <v>0</v>
      </c>
      <c r="CY24" t="e">
        <f>(((S24+R24)*AT24)/100)</f>
        <v>#REF!</v>
      </c>
      <c r="CZ24" t="e">
        <f>(((S24+R24)*AU24)/100)</f>
        <v>#REF!</v>
      </c>
      <c r="DC24" t="s">
        <v>6</v>
      </c>
      <c r="DD24" t="s">
        <v>6</v>
      </c>
      <c r="DE24" t="s">
        <v>6</v>
      </c>
      <c r="DF24" t="s">
        <v>6</v>
      </c>
      <c r="DG24" t="s">
        <v>6</v>
      </c>
      <c r="DH24" t="s">
        <v>6</v>
      </c>
      <c r="DI24" t="s">
        <v>6</v>
      </c>
      <c r="DJ24" t="s">
        <v>6</v>
      </c>
      <c r="DK24" t="s">
        <v>6</v>
      </c>
      <c r="DL24" t="s">
        <v>6</v>
      </c>
      <c r="DM24" t="s">
        <v>6</v>
      </c>
      <c r="DN24">
        <v>0</v>
      </c>
      <c r="DO24">
        <v>0</v>
      </c>
      <c r="DP24">
        <v>1</v>
      </c>
      <c r="DQ24">
        <v>1</v>
      </c>
      <c r="DU24">
        <v>1007</v>
      </c>
      <c r="DV24" t="s">
        <v>19</v>
      </c>
      <c r="DW24" t="str">
        <f>'1.Лок.смета.и.Акт'!D18</f>
        <v>1000 м3</v>
      </c>
      <c r="DX24">
        <v>1000</v>
      </c>
      <c r="DZ24" t="s">
        <v>6</v>
      </c>
      <c r="EA24" t="s">
        <v>6</v>
      </c>
      <c r="EB24" t="s">
        <v>6</v>
      </c>
      <c r="EC24" t="s">
        <v>6</v>
      </c>
      <c r="EE24">
        <v>59670271</v>
      </c>
      <c r="EF24">
        <v>2</v>
      </c>
      <c r="EG24" t="s">
        <v>21</v>
      </c>
      <c r="EH24">
        <v>1</v>
      </c>
      <c r="EI24" t="s">
        <v>22</v>
      </c>
      <c r="EJ24">
        <v>1</v>
      </c>
      <c r="EK24">
        <v>1001</v>
      </c>
      <c r="EL24" t="s">
        <v>23</v>
      </c>
      <c r="EM24" t="s">
        <v>24</v>
      </c>
      <c r="EO24" t="s">
        <v>6</v>
      </c>
      <c r="EQ24">
        <v>0</v>
      </c>
      <c r="ER24" t="e">
        <f>ES24+ET24+EV24</f>
        <v>#REF!</v>
      </c>
      <c r="ES24">
        <v>0</v>
      </c>
      <c r="ET24" s="23" t="e">
        <f>'1.Лок.смета.и.Акт'!#REF!</f>
        <v>#REF!</v>
      </c>
      <c r="EU24" s="23" t="e">
        <f>'1.Лок.смета.и.Акт'!#REF!</f>
        <v>#REF!</v>
      </c>
      <c r="EV24">
        <v>0</v>
      </c>
      <c r="EW24">
        <v>0</v>
      </c>
      <c r="EX24">
        <v>45</v>
      </c>
      <c r="EY24">
        <v>0</v>
      </c>
      <c r="FQ24">
        <v>0</v>
      </c>
      <c r="FR24">
        <f t="shared" ref="FR24:FR43" si="39">ROUND(IF(BI24=3,GM24,0),2)</f>
        <v>0</v>
      </c>
      <c r="FS24">
        <v>0</v>
      </c>
      <c r="FX24">
        <v>92</v>
      </c>
      <c r="FY24">
        <v>46</v>
      </c>
      <c r="GA24" t="s">
        <v>6</v>
      </c>
      <c r="GD24">
        <v>1</v>
      </c>
      <c r="GF24">
        <v>-1637694236</v>
      </c>
      <c r="GG24">
        <v>2</v>
      </c>
      <c r="GH24">
        <v>1</v>
      </c>
      <c r="GI24">
        <v>4</v>
      </c>
      <c r="GJ24">
        <v>0</v>
      </c>
      <c r="GK24">
        <v>0</v>
      </c>
      <c r="GL24">
        <f t="shared" ref="GL24:GL43" si="40">ROUND(IF(AND(BH24=3,BI24=3,FS24&lt;&gt;0),P24,0),2)</f>
        <v>0</v>
      </c>
      <c r="GM24" t="e">
        <f t="shared" ref="GM24:GM43" si="41">ROUND(O24+X24+Y24,2)+GX24</f>
        <v>#REF!</v>
      </c>
      <c r="GN24" t="e">
        <f t="shared" ref="GN24:GN43" si="42">IF(OR(BI24=0,BI24=1),GM24-GX24,0)</f>
        <v>#REF!</v>
      </c>
      <c r="GO24">
        <f t="shared" ref="GO24:GO43" si="43">IF(BI24=2,GM24-GX24,0)</f>
        <v>0</v>
      </c>
      <c r="GP24">
        <f t="shared" ref="GP24:GP43" si="44">IF(BI24=4,GM24-GX24,0)</f>
        <v>0</v>
      </c>
      <c r="GR24">
        <v>0</v>
      </c>
      <c r="GS24">
        <v>3</v>
      </c>
      <c r="GT24">
        <v>0</v>
      </c>
      <c r="GU24" t="s">
        <v>6</v>
      </c>
      <c r="GV24">
        <f t="shared" ref="GV24:GV43" si="45">ROUND((GT24),2)</f>
        <v>0</v>
      </c>
      <c r="GW24">
        <v>1</v>
      </c>
      <c r="GX24">
        <f t="shared" ref="GX24:GX43" si="46">ROUND(HC24*I24,2)</f>
        <v>0</v>
      </c>
      <c r="HA24">
        <v>0</v>
      </c>
      <c r="HB24">
        <v>0</v>
      </c>
      <c r="HC24">
        <f t="shared" ref="HC24:HC43" si="47">GV24*GW24</f>
        <v>0</v>
      </c>
      <c r="HE24" t="s">
        <v>6</v>
      </c>
      <c r="HF24" t="s">
        <v>6</v>
      </c>
      <c r="HM24" t="s">
        <v>6</v>
      </c>
      <c r="HN24" t="s">
        <v>25</v>
      </c>
      <c r="HO24" t="s">
        <v>26</v>
      </c>
      <c r="HP24" t="s">
        <v>23</v>
      </c>
      <c r="HQ24" t="s">
        <v>23</v>
      </c>
      <c r="IF24">
        <v>-1</v>
      </c>
      <c r="IK24">
        <v>0</v>
      </c>
      <c r="IL24" t="s">
        <v>357</v>
      </c>
      <c r="IM24">
        <v>0.35099999999999998</v>
      </c>
    </row>
    <row r="25" spans="1:247" x14ac:dyDescent="0.2">
      <c r="A25">
        <v>17</v>
      </c>
      <c r="B25">
        <v>1</v>
      </c>
      <c r="C25">
        <f>ROW(SmtRes!A3)</f>
        <v>3</v>
      </c>
      <c r="D25">
        <f>ROW(EtalonRes!A3)</f>
        <v>3</v>
      </c>
      <c r="E25" t="s">
        <v>27</v>
      </c>
      <c r="F25" t="s">
        <v>28</v>
      </c>
      <c r="G25" t="s">
        <v>29</v>
      </c>
      <c r="H25" t="s">
        <v>30</v>
      </c>
      <c r="I25">
        <f>'1.Лок.смета.и.Акт'!E19</f>
        <v>0.15</v>
      </c>
      <c r="J25">
        <v>0</v>
      </c>
      <c r="K25">
        <f>ROUND(11/100,7)</f>
        <v>0.11</v>
      </c>
      <c r="O25" t="e">
        <f t="shared" si="14"/>
        <v>#REF!</v>
      </c>
      <c r="P25">
        <f t="shared" si="15"/>
        <v>0</v>
      </c>
      <c r="Q25">
        <f t="shared" si="16"/>
        <v>0</v>
      </c>
      <c r="R25">
        <f t="shared" si="17"/>
        <v>0</v>
      </c>
      <c r="S25" t="e">
        <f t="shared" si="18"/>
        <v>#REF!</v>
      </c>
      <c r="T25">
        <f t="shared" si="19"/>
        <v>0</v>
      </c>
      <c r="U25" t="e">
        <f t="shared" si="20"/>
        <v>#REF!</v>
      </c>
      <c r="V25">
        <f t="shared" si="21"/>
        <v>0</v>
      </c>
      <c r="W25">
        <f t="shared" si="22"/>
        <v>0</v>
      </c>
      <c r="X25" t="e">
        <f t="shared" si="23"/>
        <v>#REF!</v>
      </c>
      <c r="Y25" t="e">
        <f t="shared" si="24"/>
        <v>#REF!</v>
      </c>
      <c r="AA25">
        <v>70471737</v>
      </c>
      <c r="AB25" t="e">
        <f t="shared" si="25"/>
        <v>#REF!</v>
      </c>
      <c r="AC25">
        <f t="shared" si="26"/>
        <v>0</v>
      </c>
      <c r="AD25">
        <f t="shared" si="27"/>
        <v>0</v>
      </c>
      <c r="AE25">
        <f t="shared" ref="AE25:AE43" si="48">ROUND((EU25),2)</f>
        <v>0</v>
      </c>
      <c r="AF25" t="e">
        <f>ROUND(((EV25*ROUND(1.15,7))),2)</f>
        <v>#REF!</v>
      </c>
      <c r="AG25">
        <f t="shared" si="28"/>
        <v>0</v>
      </c>
      <c r="AH25" t="e">
        <f>((EW25*ROUND(1.15,7)))</f>
        <v>#REF!</v>
      </c>
      <c r="AI25">
        <f t="shared" ref="AI25:AI43" si="49">(EX25)</f>
        <v>0</v>
      </c>
      <c r="AJ25">
        <f t="shared" si="29"/>
        <v>0</v>
      </c>
      <c r="AK25" t="e">
        <f>AL25+AM25+AO25</f>
        <v>#REF!</v>
      </c>
      <c r="AL25">
        <v>0</v>
      </c>
      <c r="AM25">
        <v>0</v>
      </c>
      <c r="AN25">
        <v>0</v>
      </c>
      <c r="AO25" s="23" t="e">
        <f>'1.Лок.смета.и.Акт'!#REF!</f>
        <v>#REF!</v>
      </c>
      <c r="AP25">
        <v>0</v>
      </c>
      <c r="AQ25" t="e">
        <f>'1.Лок.смета.и.Акт'!#REF!</f>
        <v>#REF!</v>
      </c>
      <c r="AR25">
        <v>0</v>
      </c>
      <c r="AS25">
        <v>0</v>
      </c>
      <c r="AT25">
        <v>89</v>
      </c>
      <c r="AU25">
        <v>40</v>
      </c>
      <c r="AV25">
        <v>1</v>
      </c>
      <c r="AW25">
        <v>1</v>
      </c>
      <c r="AZ25">
        <v>1</v>
      </c>
      <c r="BA25" t="e">
        <f>'1.Лок.смета.и.Акт'!#REF!</f>
        <v>#REF!</v>
      </c>
      <c r="BB25">
        <v>11.25</v>
      </c>
      <c r="BC25">
        <v>5.09</v>
      </c>
      <c r="BD25" t="s">
        <v>6</v>
      </c>
      <c r="BE25" t="s">
        <v>6</v>
      </c>
      <c r="BF25" t="s">
        <v>6</v>
      </c>
      <c r="BG25" t="s">
        <v>6</v>
      </c>
      <c r="BH25">
        <v>0</v>
      </c>
      <c r="BI25">
        <v>1</v>
      </c>
      <c r="BJ25" t="s">
        <v>31</v>
      </c>
      <c r="BM25">
        <v>1003</v>
      </c>
      <c r="BN25">
        <v>0</v>
      </c>
      <c r="BO25" t="s">
        <v>6</v>
      </c>
      <c r="BP25">
        <v>0</v>
      </c>
      <c r="BQ25">
        <v>2</v>
      </c>
      <c r="BR25">
        <v>0</v>
      </c>
      <c r="BS25">
        <v>36.67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6</v>
      </c>
      <c r="BZ25">
        <v>89</v>
      </c>
      <c r="CA25">
        <v>40</v>
      </c>
      <c r="CB25" t="s">
        <v>6</v>
      </c>
      <c r="CE25">
        <v>0</v>
      </c>
      <c r="CF25">
        <v>0</v>
      </c>
      <c r="CG25">
        <v>0</v>
      </c>
      <c r="CM25">
        <v>0</v>
      </c>
      <c r="CN25" t="s">
        <v>32</v>
      </c>
      <c r="CO25">
        <v>0</v>
      </c>
      <c r="CP25" t="e">
        <f t="shared" si="30"/>
        <v>#REF!</v>
      </c>
      <c r="CQ25">
        <f t="shared" si="31"/>
        <v>0</v>
      </c>
      <c r="CR25">
        <f t="shared" si="32"/>
        <v>0</v>
      </c>
      <c r="CS25">
        <f t="shared" si="33"/>
        <v>0</v>
      </c>
      <c r="CT25" t="e">
        <f t="shared" si="34"/>
        <v>#REF!</v>
      </c>
      <c r="CU25">
        <f t="shared" si="35"/>
        <v>0</v>
      </c>
      <c r="CV25" t="e">
        <f t="shared" si="36"/>
        <v>#REF!</v>
      </c>
      <c r="CW25">
        <f t="shared" si="37"/>
        <v>0</v>
      </c>
      <c r="CX25">
        <f t="shared" si="38"/>
        <v>0</v>
      </c>
      <c r="CY25" t="e">
        <f>(((S25+R25)*AT25)/100)</f>
        <v>#REF!</v>
      </c>
      <c r="CZ25" t="e">
        <f>(((S25+R25)*AU25)/100)</f>
        <v>#REF!</v>
      </c>
      <c r="DB25">
        <v>1</v>
      </c>
      <c r="DC25" t="s">
        <v>6</v>
      </c>
      <c r="DD25" t="s">
        <v>6</v>
      </c>
      <c r="DE25" t="s">
        <v>6</v>
      </c>
      <c r="DF25" t="s">
        <v>6</v>
      </c>
      <c r="DG25" t="s">
        <v>33</v>
      </c>
      <c r="DH25" t="s">
        <v>6</v>
      </c>
      <c r="DI25" t="s">
        <v>33</v>
      </c>
      <c r="DJ25" t="s">
        <v>6</v>
      </c>
      <c r="DK25" t="s">
        <v>6</v>
      </c>
      <c r="DL25" t="s">
        <v>6</v>
      </c>
      <c r="DM25" t="s">
        <v>6</v>
      </c>
      <c r="DN25">
        <v>0</v>
      </c>
      <c r="DO25">
        <v>0</v>
      </c>
      <c r="DP25">
        <v>1</v>
      </c>
      <c r="DQ25">
        <v>1</v>
      </c>
      <c r="DU25">
        <v>1007</v>
      </c>
      <c r="DV25" t="s">
        <v>30</v>
      </c>
      <c r="DW25" t="str">
        <f>'1.Лок.смета.и.Акт'!D19</f>
        <v>100 м3</v>
      </c>
      <c r="DX25">
        <v>100</v>
      </c>
      <c r="DZ25" t="s">
        <v>6</v>
      </c>
      <c r="EA25" t="s">
        <v>6</v>
      </c>
      <c r="EB25" t="s">
        <v>6</v>
      </c>
      <c r="EC25" t="s">
        <v>6</v>
      </c>
      <c r="EE25">
        <v>59670274</v>
      </c>
      <c r="EF25">
        <v>2</v>
      </c>
      <c r="EG25" t="s">
        <v>21</v>
      </c>
      <c r="EH25">
        <v>1</v>
      </c>
      <c r="EI25" t="s">
        <v>22</v>
      </c>
      <c r="EJ25">
        <v>1</v>
      </c>
      <c r="EK25">
        <v>1003</v>
      </c>
      <c r="EL25" t="s">
        <v>34</v>
      </c>
      <c r="EM25" t="s">
        <v>24</v>
      </c>
      <c r="EO25" t="s">
        <v>35</v>
      </c>
      <c r="EQ25">
        <v>0</v>
      </c>
      <c r="ER25" t="e">
        <f>ES25+ET25+EV25</f>
        <v>#REF!</v>
      </c>
      <c r="ES25">
        <v>0</v>
      </c>
      <c r="ET25">
        <v>0</v>
      </c>
      <c r="EU25">
        <v>0</v>
      </c>
      <c r="EV25" s="23" t="e">
        <f>'1.Лок.смета.и.Акт'!#REF!</f>
        <v>#REF!</v>
      </c>
      <c r="EW25" t="e">
        <f>'1.Лок.смета.и.Акт'!#REF!</f>
        <v>#REF!</v>
      </c>
      <c r="EX25">
        <v>0</v>
      </c>
      <c r="EY25">
        <v>0</v>
      </c>
      <c r="FQ25">
        <v>0</v>
      </c>
      <c r="FR25">
        <f t="shared" si="39"/>
        <v>0</v>
      </c>
      <c r="FS25">
        <v>0</v>
      </c>
      <c r="FX25">
        <v>89</v>
      </c>
      <c r="FY25">
        <v>40</v>
      </c>
      <c r="GA25" t="s">
        <v>6</v>
      </c>
      <c r="GD25">
        <v>1</v>
      </c>
      <c r="GF25">
        <v>-130306796</v>
      </c>
      <c r="GG25">
        <v>2</v>
      </c>
      <c r="GH25">
        <v>1</v>
      </c>
      <c r="GI25">
        <v>4</v>
      </c>
      <c r="GJ25">
        <v>0</v>
      </c>
      <c r="GK25">
        <v>0</v>
      </c>
      <c r="GL25">
        <f t="shared" si="40"/>
        <v>0</v>
      </c>
      <c r="GM25" t="e">
        <f t="shared" si="41"/>
        <v>#REF!</v>
      </c>
      <c r="GN25" t="e">
        <f t="shared" si="42"/>
        <v>#REF!</v>
      </c>
      <c r="GO25">
        <f t="shared" si="43"/>
        <v>0</v>
      </c>
      <c r="GP25">
        <f t="shared" si="44"/>
        <v>0</v>
      </c>
      <c r="GR25">
        <v>0</v>
      </c>
      <c r="GS25">
        <v>3</v>
      </c>
      <c r="GT25">
        <v>0</v>
      </c>
      <c r="GU25" t="s">
        <v>6</v>
      </c>
      <c r="GV25">
        <f t="shared" si="45"/>
        <v>0</v>
      </c>
      <c r="GW25">
        <v>1</v>
      </c>
      <c r="GX25">
        <f t="shared" si="46"/>
        <v>0</v>
      </c>
      <c r="HA25">
        <v>0</v>
      </c>
      <c r="HB25">
        <v>0</v>
      </c>
      <c r="HC25">
        <f t="shared" si="47"/>
        <v>0</v>
      </c>
      <c r="HE25" t="s">
        <v>6</v>
      </c>
      <c r="HF25" t="s">
        <v>6</v>
      </c>
      <c r="HM25" t="s">
        <v>6</v>
      </c>
      <c r="HN25" t="s">
        <v>36</v>
      </c>
      <c r="HO25" t="s">
        <v>37</v>
      </c>
      <c r="HP25" t="s">
        <v>34</v>
      </c>
      <c r="HQ25" t="s">
        <v>34</v>
      </c>
      <c r="IF25">
        <v>-1</v>
      </c>
      <c r="IK25">
        <v>0</v>
      </c>
      <c r="IL25" t="s">
        <v>358</v>
      </c>
      <c r="IM25">
        <v>0.11</v>
      </c>
    </row>
    <row r="26" spans="1:247" x14ac:dyDescent="0.2">
      <c r="A26">
        <v>17</v>
      </c>
      <c r="B26">
        <v>1</v>
      </c>
      <c r="C26">
        <f>ROW(SmtRes!A4)</f>
        <v>4</v>
      </c>
      <c r="D26">
        <f>ROW(EtalonRes!A4)</f>
        <v>4</v>
      </c>
      <c r="E26" t="s">
        <v>38</v>
      </c>
      <c r="F26" t="s">
        <v>39</v>
      </c>
      <c r="G26" t="s">
        <v>40</v>
      </c>
      <c r="H26" t="s">
        <v>30</v>
      </c>
      <c r="I26">
        <f>'1.Лок.смета.и.Акт'!E20</f>
        <v>1.67</v>
      </c>
      <c r="J26">
        <v>0</v>
      </c>
      <c r="K26">
        <f>ROUND((2.5+9+106)/100,7)</f>
        <v>1.175</v>
      </c>
      <c r="O26" t="e">
        <f t="shared" si="14"/>
        <v>#REF!</v>
      </c>
      <c r="P26">
        <f t="shared" si="15"/>
        <v>0</v>
      </c>
      <c r="Q26">
        <f t="shared" si="16"/>
        <v>0</v>
      </c>
      <c r="R26">
        <f t="shared" si="17"/>
        <v>0</v>
      </c>
      <c r="S26" t="e">
        <f t="shared" si="18"/>
        <v>#REF!</v>
      </c>
      <c r="T26">
        <f t="shared" si="19"/>
        <v>0</v>
      </c>
      <c r="U26" t="e">
        <f t="shared" si="20"/>
        <v>#REF!</v>
      </c>
      <c r="V26">
        <f t="shared" si="21"/>
        <v>0</v>
      </c>
      <c r="W26">
        <f t="shared" si="22"/>
        <v>0</v>
      </c>
      <c r="X26" t="e">
        <f t="shared" si="23"/>
        <v>#REF!</v>
      </c>
      <c r="Y26" t="e">
        <f t="shared" si="24"/>
        <v>#REF!</v>
      </c>
      <c r="AA26">
        <v>70471737</v>
      </c>
      <c r="AB26" t="e">
        <f t="shared" si="25"/>
        <v>#REF!</v>
      </c>
      <c r="AC26">
        <f t="shared" si="26"/>
        <v>0</v>
      </c>
      <c r="AD26">
        <f t="shared" si="27"/>
        <v>0</v>
      </c>
      <c r="AE26">
        <f t="shared" si="48"/>
        <v>0</v>
      </c>
      <c r="AF26" t="e">
        <f t="shared" ref="AF26:AF43" si="50">ROUND((EV26),2)</f>
        <v>#REF!</v>
      </c>
      <c r="AG26">
        <f t="shared" si="28"/>
        <v>0</v>
      </c>
      <c r="AH26" t="e">
        <f t="shared" ref="AH26:AH43" si="51">(EW26)</f>
        <v>#REF!</v>
      </c>
      <c r="AI26">
        <f t="shared" si="49"/>
        <v>0</v>
      </c>
      <c r="AJ26">
        <f t="shared" si="29"/>
        <v>0</v>
      </c>
      <c r="AK26" t="e">
        <f>AL26+AM26+AO26</f>
        <v>#REF!</v>
      </c>
      <c r="AL26">
        <v>0</v>
      </c>
      <c r="AM26">
        <v>0</v>
      </c>
      <c r="AN26">
        <v>0</v>
      </c>
      <c r="AO26" s="23" t="e">
        <f>'1.Лок.смета.и.Акт'!#REF!</f>
        <v>#REF!</v>
      </c>
      <c r="AP26">
        <v>0</v>
      </c>
      <c r="AQ26" t="e">
        <f>'1.Лок.смета.и.Акт'!#REF!</f>
        <v>#REF!</v>
      </c>
      <c r="AR26">
        <v>0</v>
      </c>
      <c r="AS26">
        <v>0</v>
      </c>
      <c r="AT26">
        <v>89</v>
      </c>
      <c r="AU26">
        <v>40</v>
      </c>
      <c r="AV26">
        <v>1</v>
      </c>
      <c r="AW26">
        <v>1</v>
      </c>
      <c r="AZ26">
        <v>1</v>
      </c>
      <c r="BA26" t="e">
        <f>'1.Лок.смета.и.Акт'!#REF!</f>
        <v>#REF!</v>
      </c>
      <c r="BB26">
        <v>11.25</v>
      </c>
      <c r="BC26">
        <v>5.09</v>
      </c>
      <c r="BD26" t="s">
        <v>6</v>
      </c>
      <c r="BE26" t="s">
        <v>6</v>
      </c>
      <c r="BF26" t="s">
        <v>6</v>
      </c>
      <c r="BG26" t="s">
        <v>6</v>
      </c>
      <c r="BH26">
        <v>0</v>
      </c>
      <c r="BI26">
        <v>1</v>
      </c>
      <c r="BJ26" t="s">
        <v>41</v>
      </c>
      <c r="BM26">
        <v>1003</v>
      </c>
      <c r="BN26">
        <v>0</v>
      </c>
      <c r="BO26" t="s">
        <v>6</v>
      </c>
      <c r="BP26">
        <v>0</v>
      </c>
      <c r="BQ26">
        <v>2</v>
      </c>
      <c r="BR26">
        <v>0</v>
      </c>
      <c r="BS26">
        <v>36.67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6</v>
      </c>
      <c r="BZ26">
        <v>89</v>
      </c>
      <c r="CA26">
        <v>40</v>
      </c>
      <c r="CB26" t="s">
        <v>6</v>
      </c>
      <c r="CE26">
        <v>0</v>
      </c>
      <c r="CF26">
        <v>0</v>
      </c>
      <c r="CG26">
        <v>0</v>
      </c>
      <c r="CM26">
        <v>0</v>
      </c>
      <c r="CN26" t="s">
        <v>6</v>
      </c>
      <c r="CO26">
        <v>0</v>
      </c>
      <c r="CP26" t="e">
        <f t="shared" si="30"/>
        <v>#REF!</v>
      </c>
      <c r="CQ26">
        <f t="shared" si="31"/>
        <v>0</v>
      </c>
      <c r="CR26">
        <f t="shared" si="32"/>
        <v>0</v>
      </c>
      <c r="CS26">
        <f t="shared" si="33"/>
        <v>0</v>
      </c>
      <c r="CT26" t="e">
        <f t="shared" si="34"/>
        <v>#REF!</v>
      </c>
      <c r="CU26">
        <f t="shared" si="35"/>
        <v>0</v>
      </c>
      <c r="CV26" t="e">
        <f t="shared" si="36"/>
        <v>#REF!</v>
      </c>
      <c r="CW26">
        <f t="shared" si="37"/>
        <v>0</v>
      </c>
      <c r="CX26">
        <f t="shared" si="38"/>
        <v>0</v>
      </c>
      <c r="CY26" t="e">
        <f>(((S26+R26)*AT26)/100)</f>
        <v>#REF!</v>
      </c>
      <c r="CZ26" t="e">
        <f>(((S26+R26)*AU26)/100)</f>
        <v>#REF!</v>
      </c>
      <c r="DC26" t="s">
        <v>6</v>
      </c>
      <c r="DD26" t="s">
        <v>6</v>
      </c>
      <c r="DE26" t="s">
        <v>6</v>
      </c>
      <c r="DF26" t="s">
        <v>6</v>
      </c>
      <c r="DG26" t="s">
        <v>6</v>
      </c>
      <c r="DH26" t="s">
        <v>6</v>
      </c>
      <c r="DI26" t="s">
        <v>6</v>
      </c>
      <c r="DJ26" t="s">
        <v>6</v>
      </c>
      <c r="DK26" t="s">
        <v>6</v>
      </c>
      <c r="DL26" t="s">
        <v>6</v>
      </c>
      <c r="DM26" t="s">
        <v>6</v>
      </c>
      <c r="DN26">
        <v>0</v>
      </c>
      <c r="DO26">
        <v>0</v>
      </c>
      <c r="DP26">
        <v>1</v>
      </c>
      <c r="DQ26">
        <v>1</v>
      </c>
      <c r="DU26">
        <v>1007</v>
      </c>
      <c r="DV26" t="s">
        <v>30</v>
      </c>
      <c r="DW26" t="str">
        <f>'1.Лок.смета.и.Акт'!D20</f>
        <v>100 м3</v>
      </c>
      <c r="DX26">
        <v>100</v>
      </c>
      <c r="DZ26" t="s">
        <v>6</v>
      </c>
      <c r="EA26" t="s">
        <v>6</v>
      </c>
      <c r="EB26" t="s">
        <v>6</v>
      </c>
      <c r="EC26" t="s">
        <v>6</v>
      </c>
      <c r="EE26">
        <v>59670274</v>
      </c>
      <c r="EF26">
        <v>2</v>
      </c>
      <c r="EG26" t="s">
        <v>21</v>
      </c>
      <c r="EH26">
        <v>1</v>
      </c>
      <c r="EI26" t="s">
        <v>22</v>
      </c>
      <c r="EJ26">
        <v>1</v>
      </c>
      <c r="EK26">
        <v>1003</v>
      </c>
      <c r="EL26" t="s">
        <v>34</v>
      </c>
      <c r="EM26" t="s">
        <v>24</v>
      </c>
      <c r="EO26" t="s">
        <v>6</v>
      </c>
      <c r="EQ26">
        <v>0</v>
      </c>
      <c r="ER26" t="e">
        <f>ES26+ET26+EV26</f>
        <v>#REF!</v>
      </c>
      <c r="ES26">
        <v>0</v>
      </c>
      <c r="ET26">
        <v>0</v>
      </c>
      <c r="EU26">
        <v>0</v>
      </c>
      <c r="EV26" s="23" t="e">
        <f>'1.Лок.смета.и.Акт'!#REF!</f>
        <v>#REF!</v>
      </c>
      <c r="EW26" t="e">
        <f>'1.Лок.смета.и.Акт'!#REF!</f>
        <v>#REF!</v>
      </c>
      <c r="EX26">
        <v>0</v>
      </c>
      <c r="EY26">
        <v>0</v>
      </c>
      <c r="FQ26">
        <v>0</v>
      </c>
      <c r="FR26">
        <f t="shared" si="39"/>
        <v>0</v>
      </c>
      <c r="FS26">
        <v>0</v>
      </c>
      <c r="FX26">
        <v>89</v>
      </c>
      <c r="FY26">
        <v>40</v>
      </c>
      <c r="GA26" t="s">
        <v>6</v>
      </c>
      <c r="GD26">
        <v>1</v>
      </c>
      <c r="GF26">
        <v>1480727532</v>
      </c>
      <c r="GG26">
        <v>2</v>
      </c>
      <c r="GH26">
        <v>1</v>
      </c>
      <c r="GI26">
        <v>4</v>
      </c>
      <c r="GJ26">
        <v>0</v>
      </c>
      <c r="GK26">
        <v>0</v>
      </c>
      <c r="GL26">
        <f t="shared" si="40"/>
        <v>0</v>
      </c>
      <c r="GM26" t="e">
        <f t="shared" si="41"/>
        <v>#REF!</v>
      </c>
      <c r="GN26" t="e">
        <f t="shared" si="42"/>
        <v>#REF!</v>
      </c>
      <c r="GO26">
        <f t="shared" si="43"/>
        <v>0</v>
      </c>
      <c r="GP26">
        <f t="shared" si="44"/>
        <v>0</v>
      </c>
      <c r="GR26">
        <v>0</v>
      </c>
      <c r="GS26">
        <v>3</v>
      </c>
      <c r="GT26">
        <v>0</v>
      </c>
      <c r="GU26" t="s">
        <v>6</v>
      </c>
      <c r="GV26">
        <f t="shared" si="45"/>
        <v>0</v>
      </c>
      <c r="GW26">
        <v>1</v>
      </c>
      <c r="GX26">
        <f t="shared" si="46"/>
        <v>0</v>
      </c>
      <c r="HA26">
        <v>0</v>
      </c>
      <c r="HB26">
        <v>0</v>
      </c>
      <c r="HC26">
        <f t="shared" si="47"/>
        <v>0</v>
      </c>
      <c r="HE26" t="s">
        <v>6</v>
      </c>
      <c r="HF26" t="s">
        <v>6</v>
      </c>
      <c r="HM26" t="s">
        <v>6</v>
      </c>
      <c r="HN26" t="s">
        <v>36</v>
      </c>
      <c r="HO26" t="s">
        <v>37</v>
      </c>
      <c r="HP26" t="s">
        <v>34</v>
      </c>
      <c r="HQ26" t="s">
        <v>34</v>
      </c>
      <c r="IF26">
        <v>-1</v>
      </c>
      <c r="IK26">
        <v>0</v>
      </c>
      <c r="IL26" t="s">
        <v>359</v>
      </c>
      <c r="IM26">
        <v>1.175</v>
      </c>
    </row>
    <row r="27" spans="1:247" x14ac:dyDescent="0.2">
      <c r="A27">
        <v>17</v>
      </c>
      <c r="B27">
        <v>1</v>
      </c>
      <c r="E27" t="s">
        <v>42</v>
      </c>
      <c r="F27" t="e">
        <f>'1.Лок.смета.и.Акт'!#REF!</f>
        <v>#REF!</v>
      </c>
      <c r="G27" t="s">
        <v>44</v>
      </c>
      <c r="H27" t="s">
        <v>45</v>
      </c>
      <c r="I27" t="e">
        <f>'1.Лок.смета.и.Акт'!#REF!</f>
        <v>#REF!</v>
      </c>
      <c r="J27">
        <v>0</v>
      </c>
      <c r="K27">
        <v>117.5</v>
      </c>
      <c r="O27" t="e">
        <f t="shared" si="14"/>
        <v>#REF!</v>
      </c>
      <c r="P27" t="e">
        <f t="shared" si="15"/>
        <v>#REF!</v>
      </c>
      <c r="Q27" t="e">
        <f t="shared" si="16"/>
        <v>#REF!</v>
      </c>
      <c r="R27" t="e">
        <f t="shared" si="17"/>
        <v>#REF!</v>
      </c>
      <c r="S27" t="e">
        <f t="shared" si="18"/>
        <v>#REF!</v>
      </c>
      <c r="T27" t="e">
        <f t="shared" si="19"/>
        <v>#REF!</v>
      </c>
      <c r="U27" t="e">
        <f t="shared" si="20"/>
        <v>#REF!</v>
      </c>
      <c r="V27" t="e">
        <f t="shared" si="21"/>
        <v>#REF!</v>
      </c>
      <c r="W27" t="e">
        <f t="shared" si="22"/>
        <v>#REF!</v>
      </c>
      <c r="X27">
        <f t="shared" si="23"/>
        <v>0</v>
      </c>
      <c r="Y27">
        <f t="shared" si="24"/>
        <v>0</v>
      </c>
      <c r="AA27">
        <v>70471737</v>
      </c>
      <c r="AB27" t="e">
        <f t="shared" si="25"/>
        <v>#REF!</v>
      </c>
      <c r="AC27" t="e">
        <f t="shared" si="26"/>
        <v>#REF!</v>
      </c>
      <c r="AD27">
        <f t="shared" si="27"/>
        <v>0</v>
      </c>
      <c r="AE27">
        <f t="shared" si="48"/>
        <v>0</v>
      </c>
      <c r="AF27">
        <f t="shared" si="50"/>
        <v>0</v>
      </c>
      <c r="AG27">
        <f t="shared" si="28"/>
        <v>0</v>
      </c>
      <c r="AH27">
        <f t="shared" si="51"/>
        <v>0</v>
      </c>
      <c r="AI27">
        <f t="shared" si="49"/>
        <v>0</v>
      </c>
      <c r="AJ27">
        <f t="shared" si="29"/>
        <v>0</v>
      </c>
      <c r="AK27">
        <v>55.26</v>
      </c>
      <c r="AL27" s="23" t="e">
        <f>'1.Лок.смета.и.Акт'!#REF!</f>
        <v>#REF!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 t="e">
        <f>'1.Лок.смета.и.Акт'!#REF!</f>
        <v>#REF!</v>
      </c>
      <c r="BD27" t="s">
        <v>6</v>
      </c>
      <c r="BE27" t="s">
        <v>6</v>
      </c>
      <c r="BF27" t="s">
        <v>6</v>
      </c>
      <c r="BG27" t="s">
        <v>6</v>
      </c>
      <c r="BH27">
        <v>3</v>
      </c>
      <c r="BI27">
        <v>1</v>
      </c>
      <c r="BJ27" t="s">
        <v>46</v>
      </c>
      <c r="BM27">
        <v>500001</v>
      </c>
      <c r="BN27">
        <v>0</v>
      </c>
      <c r="BO27" t="s">
        <v>6</v>
      </c>
      <c r="BP27">
        <v>0</v>
      </c>
      <c r="BQ27">
        <v>8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6</v>
      </c>
      <c r="BZ27">
        <v>0</v>
      </c>
      <c r="CA27">
        <v>0</v>
      </c>
      <c r="CB27" t="s">
        <v>6</v>
      </c>
      <c r="CE27">
        <v>0</v>
      </c>
      <c r="CF27">
        <v>0</v>
      </c>
      <c r="CG27">
        <v>0</v>
      </c>
      <c r="CM27">
        <v>0</v>
      </c>
      <c r="CN27" t="s">
        <v>6</v>
      </c>
      <c r="CO27">
        <v>0</v>
      </c>
      <c r="CP27" t="e">
        <f t="shared" si="30"/>
        <v>#REF!</v>
      </c>
      <c r="CQ27" t="e">
        <f t="shared" si="31"/>
        <v>#REF!</v>
      </c>
      <c r="CR27">
        <f t="shared" si="32"/>
        <v>0</v>
      </c>
      <c r="CS27">
        <f t="shared" si="33"/>
        <v>0</v>
      </c>
      <c r="CT27">
        <f t="shared" si="34"/>
        <v>0</v>
      </c>
      <c r="CU27">
        <f t="shared" si="35"/>
        <v>0</v>
      </c>
      <c r="CV27">
        <f t="shared" si="36"/>
        <v>0</v>
      </c>
      <c r="CW27">
        <f t="shared" si="37"/>
        <v>0</v>
      </c>
      <c r="CX27">
        <f t="shared" si="38"/>
        <v>0</v>
      </c>
      <c r="CY27">
        <f>0</f>
        <v>0</v>
      </c>
      <c r="CZ27">
        <f>0</f>
        <v>0</v>
      </c>
      <c r="DC27" t="s">
        <v>6</v>
      </c>
      <c r="DD27" t="s">
        <v>6</v>
      </c>
      <c r="DE27" t="s">
        <v>6</v>
      </c>
      <c r="DF27" t="s">
        <v>6</v>
      </c>
      <c r="DG27" t="s">
        <v>6</v>
      </c>
      <c r="DH27" t="s">
        <v>6</v>
      </c>
      <c r="DI27" t="s">
        <v>6</v>
      </c>
      <c r="DJ27" t="s">
        <v>6</v>
      </c>
      <c r="DK27" t="s">
        <v>6</v>
      </c>
      <c r="DL27" t="s">
        <v>6</v>
      </c>
      <c r="DM27" t="s">
        <v>6</v>
      </c>
      <c r="DN27">
        <v>0</v>
      </c>
      <c r="DO27">
        <v>0</v>
      </c>
      <c r="DP27">
        <v>1</v>
      </c>
      <c r="DQ27">
        <v>1</v>
      </c>
      <c r="DU27">
        <v>1007</v>
      </c>
      <c r="DV27" t="s">
        <v>45</v>
      </c>
      <c r="DW27" t="e">
        <f>'1.Лок.смета.и.Акт'!#REF!</f>
        <v>#REF!</v>
      </c>
      <c r="DX27">
        <v>1</v>
      </c>
      <c r="DZ27" t="s">
        <v>6</v>
      </c>
      <c r="EA27" t="s">
        <v>6</v>
      </c>
      <c r="EB27" t="s">
        <v>6</v>
      </c>
      <c r="EC27" t="s">
        <v>6</v>
      </c>
      <c r="EE27">
        <v>59670228</v>
      </c>
      <c r="EF27">
        <v>8</v>
      </c>
      <c r="EG27" t="s">
        <v>47</v>
      </c>
      <c r="EH27">
        <v>0</v>
      </c>
      <c r="EI27" t="s">
        <v>6</v>
      </c>
      <c r="EJ27">
        <v>1</v>
      </c>
      <c r="EK27">
        <v>500001</v>
      </c>
      <c r="EL27" t="s">
        <v>48</v>
      </c>
      <c r="EM27" t="s">
        <v>49</v>
      </c>
      <c r="EO27" t="s">
        <v>6</v>
      </c>
      <c r="EQ27">
        <v>0</v>
      </c>
      <c r="ER27">
        <v>55.26</v>
      </c>
      <c r="ES27" s="23" t="e">
        <f>'1.Лок.смета.и.Акт'!#REF!</f>
        <v>#REF!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FQ27">
        <v>0</v>
      </c>
      <c r="FR27">
        <f t="shared" si="39"/>
        <v>0</v>
      </c>
      <c r="FS27">
        <v>0</v>
      </c>
      <c r="FX27">
        <v>0</v>
      </c>
      <c r="FY27">
        <v>0</v>
      </c>
      <c r="GA27" t="s">
        <v>6</v>
      </c>
      <c r="GD27">
        <v>1</v>
      </c>
      <c r="GF27">
        <v>1448519192</v>
      </c>
      <c r="GG27">
        <v>2</v>
      </c>
      <c r="GH27">
        <v>1</v>
      </c>
      <c r="GI27">
        <v>4</v>
      </c>
      <c r="GJ27">
        <v>0</v>
      </c>
      <c r="GK27">
        <v>0</v>
      </c>
      <c r="GL27">
        <f t="shared" si="40"/>
        <v>0</v>
      </c>
      <c r="GM27" t="e">
        <f t="shared" si="41"/>
        <v>#REF!</v>
      </c>
      <c r="GN27" t="e">
        <f t="shared" si="42"/>
        <v>#REF!</v>
      </c>
      <c r="GO27">
        <f t="shared" si="43"/>
        <v>0</v>
      </c>
      <c r="GP27">
        <f t="shared" si="44"/>
        <v>0</v>
      </c>
      <c r="GR27">
        <v>0</v>
      </c>
      <c r="GS27">
        <v>0</v>
      </c>
      <c r="GT27">
        <v>0</v>
      </c>
      <c r="GU27" t="s">
        <v>6</v>
      </c>
      <c r="GV27">
        <f t="shared" si="45"/>
        <v>0</v>
      </c>
      <c r="GW27">
        <v>1</v>
      </c>
      <c r="GX27" t="e">
        <f t="shared" si="46"/>
        <v>#REF!</v>
      </c>
      <c r="HA27">
        <v>0</v>
      </c>
      <c r="HB27">
        <v>0</v>
      </c>
      <c r="HC27">
        <f t="shared" si="47"/>
        <v>0</v>
      </c>
      <c r="HE27" t="s">
        <v>6</v>
      </c>
      <c r="HF27" t="s">
        <v>6</v>
      </c>
      <c r="HM27" t="s">
        <v>6</v>
      </c>
      <c r="HN27" t="s">
        <v>6</v>
      </c>
      <c r="HO27" t="s">
        <v>6</v>
      </c>
      <c r="HP27" t="s">
        <v>6</v>
      </c>
      <c r="HQ27" t="s">
        <v>6</v>
      </c>
      <c r="IF27">
        <v>-1</v>
      </c>
      <c r="IK27">
        <v>0</v>
      </c>
    </row>
    <row r="28" spans="1:247" x14ac:dyDescent="0.2">
      <c r="A28">
        <v>17</v>
      </c>
      <c r="B28">
        <v>1</v>
      </c>
      <c r="C28">
        <f>ROW(SmtRes!A6)</f>
        <v>6</v>
      </c>
      <c r="D28">
        <f>ROW(EtalonRes!A6)</f>
        <v>6</v>
      </c>
      <c r="E28" t="s">
        <v>50</v>
      </c>
      <c r="F28" t="s">
        <v>51</v>
      </c>
      <c r="G28" t="s">
        <v>52</v>
      </c>
      <c r="H28" t="s">
        <v>19</v>
      </c>
      <c r="I28">
        <f>'1.Лок.смета.и.Акт'!E21</f>
        <v>0.20699999999999999</v>
      </c>
      <c r="J28">
        <v>0</v>
      </c>
      <c r="K28">
        <f>ROUND((4.5+18+211)/1000,7)</f>
        <v>0.23350000000000001</v>
      </c>
      <c r="O28" t="e">
        <f t="shared" si="14"/>
        <v>#REF!</v>
      </c>
      <c r="P28">
        <f t="shared" si="15"/>
        <v>0</v>
      </c>
      <c r="Q28" t="e">
        <f t="shared" si="16"/>
        <v>#REF!</v>
      </c>
      <c r="R28" t="e">
        <f t="shared" si="17"/>
        <v>#REF!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1.66842</v>
      </c>
      <c r="W28">
        <f t="shared" si="22"/>
        <v>0</v>
      </c>
      <c r="X28" t="e">
        <f t="shared" si="23"/>
        <v>#REF!</v>
      </c>
      <c r="Y28" t="e">
        <f t="shared" si="24"/>
        <v>#REF!</v>
      </c>
      <c r="AA28">
        <v>70471737</v>
      </c>
      <c r="AB28" t="e">
        <f t="shared" si="25"/>
        <v>#REF!</v>
      </c>
      <c r="AC28">
        <f t="shared" si="26"/>
        <v>0</v>
      </c>
      <c r="AD28" t="e">
        <f t="shared" si="27"/>
        <v>#REF!</v>
      </c>
      <c r="AE28" t="e">
        <f t="shared" si="48"/>
        <v>#REF!</v>
      </c>
      <c r="AF28">
        <f t="shared" si="50"/>
        <v>0</v>
      </c>
      <c r="AG28">
        <f t="shared" si="28"/>
        <v>0</v>
      </c>
      <c r="AH28">
        <f t="shared" si="51"/>
        <v>0</v>
      </c>
      <c r="AI28">
        <f t="shared" si="49"/>
        <v>8.06</v>
      </c>
      <c r="AJ28">
        <f t="shared" si="29"/>
        <v>0</v>
      </c>
      <c r="AK28" t="e">
        <f>AL28+AM28+AO28</f>
        <v>#REF!</v>
      </c>
      <c r="AL28">
        <v>0</v>
      </c>
      <c r="AM28" s="23" t="e">
        <f>'1.Лок.смета.и.Акт'!#REF!</f>
        <v>#REF!</v>
      </c>
      <c r="AN28" s="23" t="e">
        <f>'1.Лок.смета.и.Акт'!#REF!</f>
        <v>#REF!</v>
      </c>
      <c r="AO28">
        <v>0</v>
      </c>
      <c r="AP28">
        <v>0</v>
      </c>
      <c r="AQ28">
        <v>0</v>
      </c>
      <c r="AR28">
        <v>8.06</v>
      </c>
      <c r="AS28">
        <v>0</v>
      </c>
      <c r="AT28">
        <v>92</v>
      </c>
      <c r="AU28">
        <v>46</v>
      </c>
      <c r="AV28">
        <v>1</v>
      </c>
      <c r="AW28">
        <v>1</v>
      </c>
      <c r="AZ28">
        <v>1</v>
      </c>
      <c r="BA28">
        <v>36.67</v>
      </c>
      <c r="BB28" t="e">
        <f>'1.Лок.смета.и.Акт'!#REF!</f>
        <v>#REF!</v>
      </c>
      <c r="BC28">
        <v>5.09</v>
      </c>
      <c r="BD28" t="s">
        <v>6</v>
      </c>
      <c r="BE28" t="s">
        <v>6</v>
      </c>
      <c r="BF28" t="s">
        <v>6</v>
      </c>
      <c r="BG28" t="s">
        <v>6</v>
      </c>
      <c r="BH28">
        <v>0</v>
      </c>
      <c r="BI28">
        <v>1</v>
      </c>
      <c r="BJ28" t="s">
        <v>53</v>
      </c>
      <c r="BM28">
        <v>1001</v>
      </c>
      <c r="BN28">
        <v>0</v>
      </c>
      <c r="BO28" t="s">
        <v>6</v>
      </c>
      <c r="BP28">
        <v>0</v>
      </c>
      <c r="BQ28">
        <v>2</v>
      </c>
      <c r="BR28">
        <v>0</v>
      </c>
      <c r="BS28" t="e">
        <f>'1.Лок.смета.и.Акт'!#REF!</f>
        <v>#REF!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6</v>
      </c>
      <c r="BZ28">
        <v>92</v>
      </c>
      <c r="CA28">
        <v>46</v>
      </c>
      <c r="CB28" t="s">
        <v>6</v>
      </c>
      <c r="CE28">
        <v>0</v>
      </c>
      <c r="CF28">
        <v>0</v>
      </c>
      <c r="CG28">
        <v>0</v>
      </c>
      <c r="CM28">
        <v>0</v>
      </c>
      <c r="CN28" t="s">
        <v>6</v>
      </c>
      <c r="CO28">
        <v>0</v>
      </c>
      <c r="CP28" t="e">
        <f t="shared" si="30"/>
        <v>#REF!</v>
      </c>
      <c r="CQ28">
        <f t="shared" si="31"/>
        <v>0</v>
      </c>
      <c r="CR28" t="e">
        <f t="shared" si="32"/>
        <v>#REF!</v>
      </c>
      <c r="CS28" t="e">
        <f t="shared" si="33"/>
        <v>#REF!</v>
      </c>
      <c r="CT28">
        <f t="shared" si="34"/>
        <v>0</v>
      </c>
      <c r="CU28">
        <f t="shared" si="35"/>
        <v>0</v>
      </c>
      <c r="CV28">
        <f t="shared" si="36"/>
        <v>0</v>
      </c>
      <c r="CW28">
        <f t="shared" si="37"/>
        <v>8.06</v>
      </c>
      <c r="CX28">
        <f t="shared" si="38"/>
        <v>0</v>
      </c>
      <c r="CY28" t="e">
        <f t="shared" ref="CY28:CY33" si="52">(((S28+R28)*AT28)/100)</f>
        <v>#REF!</v>
      </c>
      <c r="CZ28" t="e">
        <f t="shared" ref="CZ28:CZ33" si="53">(((S28+R28)*AU28)/100)</f>
        <v>#REF!</v>
      </c>
      <c r="DC28" t="s">
        <v>6</v>
      </c>
      <c r="DD28" t="s">
        <v>6</v>
      </c>
      <c r="DE28" t="s">
        <v>6</v>
      </c>
      <c r="DF28" t="s">
        <v>6</v>
      </c>
      <c r="DG28" t="s">
        <v>6</v>
      </c>
      <c r="DH28" t="s">
        <v>6</v>
      </c>
      <c r="DI28" t="s">
        <v>6</v>
      </c>
      <c r="DJ28" t="s">
        <v>6</v>
      </c>
      <c r="DK28" t="s">
        <v>6</v>
      </c>
      <c r="DL28" t="s">
        <v>6</v>
      </c>
      <c r="DM28" t="s">
        <v>6</v>
      </c>
      <c r="DN28">
        <v>0</v>
      </c>
      <c r="DO28">
        <v>0</v>
      </c>
      <c r="DP28">
        <v>1</v>
      </c>
      <c r="DQ28">
        <v>1</v>
      </c>
      <c r="DU28">
        <v>1007</v>
      </c>
      <c r="DV28" t="s">
        <v>19</v>
      </c>
      <c r="DW28" t="str">
        <f>'1.Лок.смета.и.Акт'!D21</f>
        <v>1000 м3</v>
      </c>
      <c r="DX28">
        <v>1000</v>
      </c>
      <c r="DZ28" t="s">
        <v>6</v>
      </c>
      <c r="EA28" t="s">
        <v>6</v>
      </c>
      <c r="EB28" t="s">
        <v>6</v>
      </c>
      <c r="EC28" t="s">
        <v>6</v>
      </c>
      <c r="EE28">
        <v>59670271</v>
      </c>
      <c r="EF28">
        <v>2</v>
      </c>
      <c r="EG28" t="s">
        <v>21</v>
      </c>
      <c r="EH28">
        <v>1</v>
      </c>
      <c r="EI28" t="s">
        <v>22</v>
      </c>
      <c r="EJ28">
        <v>1</v>
      </c>
      <c r="EK28">
        <v>1001</v>
      </c>
      <c r="EL28" t="s">
        <v>23</v>
      </c>
      <c r="EM28" t="s">
        <v>24</v>
      </c>
      <c r="EO28" t="s">
        <v>6</v>
      </c>
      <c r="EQ28">
        <v>0</v>
      </c>
      <c r="ER28" t="e">
        <f>ES28+ET28+EV28</f>
        <v>#REF!</v>
      </c>
      <c r="ES28">
        <v>0</v>
      </c>
      <c r="ET28" s="23" t="e">
        <f>'1.Лок.смета.и.Акт'!#REF!</f>
        <v>#REF!</v>
      </c>
      <c r="EU28" s="23" t="e">
        <f>'1.Лок.смета.и.Акт'!#REF!</f>
        <v>#REF!</v>
      </c>
      <c r="EV28">
        <v>0</v>
      </c>
      <c r="EW28">
        <v>0</v>
      </c>
      <c r="EX28">
        <v>8.06</v>
      </c>
      <c r="EY28">
        <v>0</v>
      </c>
      <c r="FQ28">
        <v>0</v>
      </c>
      <c r="FR28">
        <f t="shared" si="39"/>
        <v>0</v>
      </c>
      <c r="FS28">
        <v>0</v>
      </c>
      <c r="FX28">
        <v>92</v>
      </c>
      <c r="FY28">
        <v>46</v>
      </c>
      <c r="GA28" t="s">
        <v>6</v>
      </c>
      <c r="GD28">
        <v>1</v>
      </c>
      <c r="GF28">
        <v>-693576222</v>
      </c>
      <c r="GG28">
        <v>2</v>
      </c>
      <c r="GH28">
        <v>1</v>
      </c>
      <c r="GI28">
        <v>4</v>
      </c>
      <c r="GJ28">
        <v>0</v>
      </c>
      <c r="GK28">
        <v>0</v>
      </c>
      <c r="GL28">
        <f t="shared" si="40"/>
        <v>0</v>
      </c>
      <c r="GM28" t="e">
        <f t="shared" si="41"/>
        <v>#REF!</v>
      </c>
      <c r="GN28" t="e">
        <f t="shared" si="42"/>
        <v>#REF!</v>
      </c>
      <c r="GO28">
        <f t="shared" si="43"/>
        <v>0</v>
      </c>
      <c r="GP28">
        <f t="shared" si="44"/>
        <v>0</v>
      </c>
      <c r="GR28">
        <v>0</v>
      </c>
      <c r="GS28">
        <v>3</v>
      </c>
      <c r="GT28">
        <v>0</v>
      </c>
      <c r="GU28" t="s">
        <v>6</v>
      </c>
      <c r="GV28">
        <f t="shared" si="45"/>
        <v>0</v>
      </c>
      <c r="GW28">
        <v>1</v>
      </c>
      <c r="GX28">
        <f t="shared" si="46"/>
        <v>0</v>
      </c>
      <c r="HA28">
        <v>0</v>
      </c>
      <c r="HB28">
        <v>0</v>
      </c>
      <c r="HC28">
        <f t="shared" si="47"/>
        <v>0</v>
      </c>
      <c r="HE28" t="s">
        <v>6</v>
      </c>
      <c r="HF28" t="s">
        <v>6</v>
      </c>
      <c r="HM28" t="s">
        <v>6</v>
      </c>
      <c r="HN28" t="s">
        <v>25</v>
      </c>
      <c r="HO28" t="s">
        <v>26</v>
      </c>
      <c r="HP28" t="s">
        <v>23</v>
      </c>
      <c r="HQ28" t="s">
        <v>23</v>
      </c>
      <c r="IF28">
        <v>-1</v>
      </c>
      <c r="IK28">
        <v>0</v>
      </c>
      <c r="IL28" t="s">
        <v>360</v>
      </c>
      <c r="IM28">
        <v>0.23350000000000001</v>
      </c>
    </row>
    <row r="29" spans="1:247" x14ac:dyDescent="0.2">
      <c r="A29">
        <v>17</v>
      </c>
      <c r="B29">
        <v>1</v>
      </c>
      <c r="C29">
        <f>ROW(SmtRes!A10)</f>
        <v>10</v>
      </c>
      <c r="D29">
        <f>ROW(EtalonRes!A10)</f>
        <v>10</v>
      </c>
      <c r="E29" t="s">
        <v>54</v>
      </c>
      <c r="F29" t="s">
        <v>55</v>
      </c>
      <c r="G29" t="s">
        <v>56</v>
      </c>
      <c r="H29" t="s">
        <v>30</v>
      </c>
      <c r="I29">
        <f>'1.Лок.смета.и.Акт'!E22</f>
        <v>2.0699999999999998</v>
      </c>
      <c r="J29">
        <v>0</v>
      </c>
      <c r="K29">
        <f>ROUND(I28*10,7)</f>
        <v>2.0699999999999998</v>
      </c>
      <c r="O29" t="e">
        <f t="shared" si="14"/>
        <v>#REF!</v>
      </c>
      <c r="P29">
        <f t="shared" si="15"/>
        <v>0</v>
      </c>
      <c r="Q29" t="e">
        <f t="shared" si="16"/>
        <v>#REF!</v>
      </c>
      <c r="R29" t="e">
        <f t="shared" si="17"/>
        <v>#REF!</v>
      </c>
      <c r="S29" t="e">
        <f t="shared" si="18"/>
        <v>#REF!</v>
      </c>
      <c r="T29">
        <f t="shared" si="19"/>
        <v>0</v>
      </c>
      <c r="U29" t="e">
        <f t="shared" si="20"/>
        <v>#REF!</v>
      </c>
      <c r="V29">
        <f t="shared" si="21"/>
        <v>5.4234</v>
      </c>
      <c r="W29">
        <f t="shared" si="22"/>
        <v>0</v>
      </c>
      <c r="X29" t="e">
        <f t="shared" si="23"/>
        <v>#REF!</v>
      </c>
      <c r="Y29" t="e">
        <f t="shared" si="24"/>
        <v>#REF!</v>
      </c>
      <c r="AA29">
        <v>70471737</v>
      </c>
      <c r="AB29" t="e">
        <f t="shared" si="25"/>
        <v>#REF!</v>
      </c>
      <c r="AC29">
        <f t="shared" si="26"/>
        <v>0</v>
      </c>
      <c r="AD29" t="e">
        <f t="shared" si="27"/>
        <v>#REF!</v>
      </c>
      <c r="AE29" t="e">
        <f t="shared" si="48"/>
        <v>#REF!</v>
      </c>
      <c r="AF29" t="e">
        <f t="shared" si="50"/>
        <v>#REF!</v>
      </c>
      <c r="AG29">
        <f t="shared" si="28"/>
        <v>0</v>
      </c>
      <c r="AH29" t="e">
        <f t="shared" si="51"/>
        <v>#REF!</v>
      </c>
      <c r="AI29">
        <f t="shared" si="49"/>
        <v>2.62</v>
      </c>
      <c r="AJ29">
        <f t="shared" si="29"/>
        <v>0</v>
      </c>
      <c r="AK29" t="e">
        <f>AL29+AM29+AO29</f>
        <v>#REF!</v>
      </c>
      <c r="AL29">
        <v>0</v>
      </c>
      <c r="AM29" s="23" t="e">
        <f>'1.Лок.смета.и.Акт'!#REF!</f>
        <v>#REF!</v>
      </c>
      <c r="AN29" s="23" t="e">
        <f>'1.Лок.смета.и.Акт'!#REF!</f>
        <v>#REF!</v>
      </c>
      <c r="AO29" s="23" t="e">
        <f>'1.Лок.смета.и.Акт'!#REF!</f>
        <v>#REF!</v>
      </c>
      <c r="AP29">
        <v>0</v>
      </c>
      <c r="AQ29" t="e">
        <f>'1.Лок.смета.и.Акт'!#REF!</f>
        <v>#REF!</v>
      </c>
      <c r="AR29">
        <v>2.62</v>
      </c>
      <c r="AS29">
        <v>0</v>
      </c>
      <c r="AT29">
        <v>92</v>
      </c>
      <c r="AU29">
        <v>46</v>
      </c>
      <c r="AV29">
        <v>1</v>
      </c>
      <c r="AW29">
        <v>1</v>
      </c>
      <c r="AZ29">
        <v>1</v>
      </c>
      <c r="BA29" t="e">
        <f>'1.Лок.смета.и.Акт'!#REF!</f>
        <v>#REF!</v>
      </c>
      <c r="BB29" t="e">
        <f>'1.Лок.смета.и.Акт'!#REF!</f>
        <v>#REF!</v>
      </c>
      <c r="BC29">
        <v>5.09</v>
      </c>
      <c r="BD29" t="s">
        <v>6</v>
      </c>
      <c r="BE29" t="s">
        <v>6</v>
      </c>
      <c r="BF29" t="s">
        <v>6</v>
      </c>
      <c r="BG29" t="s">
        <v>6</v>
      </c>
      <c r="BH29">
        <v>0</v>
      </c>
      <c r="BI29">
        <v>1</v>
      </c>
      <c r="BJ29" t="s">
        <v>57</v>
      </c>
      <c r="BM29">
        <v>1001</v>
      </c>
      <c r="BN29">
        <v>0</v>
      </c>
      <c r="BO29" t="s">
        <v>6</v>
      </c>
      <c r="BP29">
        <v>0</v>
      </c>
      <c r="BQ29">
        <v>2</v>
      </c>
      <c r="BR29">
        <v>0</v>
      </c>
      <c r="BS29" t="e">
        <f>'1.Лок.смета.и.Акт'!#REF!</f>
        <v>#REF!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6</v>
      </c>
      <c r="BZ29">
        <v>92</v>
      </c>
      <c r="CA29">
        <v>46</v>
      </c>
      <c r="CB29" t="s">
        <v>6</v>
      </c>
      <c r="CE29">
        <v>0</v>
      </c>
      <c r="CF29">
        <v>0</v>
      </c>
      <c r="CG29">
        <v>0</v>
      </c>
      <c r="CM29">
        <v>0</v>
      </c>
      <c r="CN29" t="s">
        <v>6</v>
      </c>
      <c r="CO29">
        <v>0</v>
      </c>
      <c r="CP29" t="e">
        <f t="shared" si="30"/>
        <v>#REF!</v>
      </c>
      <c r="CQ29">
        <f t="shared" si="31"/>
        <v>0</v>
      </c>
      <c r="CR29" t="e">
        <f t="shared" si="32"/>
        <v>#REF!</v>
      </c>
      <c r="CS29" t="e">
        <f t="shared" si="33"/>
        <v>#REF!</v>
      </c>
      <c r="CT29" t="e">
        <f t="shared" si="34"/>
        <v>#REF!</v>
      </c>
      <c r="CU29">
        <f t="shared" si="35"/>
        <v>0</v>
      </c>
      <c r="CV29" t="e">
        <f t="shared" si="36"/>
        <v>#REF!</v>
      </c>
      <c r="CW29">
        <f t="shared" si="37"/>
        <v>2.62</v>
      </c>
      <c r="CX29">
        <f t="shared" si="38"/>
        <v>0</v>
      </c>
      <c r="CY29" t="e">
        <f t="shared" si="52"/>
        <v>#REF!</v>
      </c>
      <c r="CZ29" t="e">
        <f t="shared" si="53"/>
        <v>#REF!</v>
      </c>
      <c r="DC29" t="s">
        <v>6</v>
      </c>
      <c r="DD29" t="s">
        <v>6</v>
      </c>
      <c r="DE29" t="s">
        <v>6</v>
      </c>
      <c r="DF29" t="s">
        <v>6</v>
      </c>
      <c r="DG29" t="s">
        <v>6</v>
      </c>
      <c r="DH29" t="s">
        <v>6</v>
      </c>
      <c r="DI29" t="s">
        <v>6</v>
      </c>
      <c r="DJ29" t="s">
        <v>6</v>
      </c>
      <c r="DK29" t="s">
        <v>6</v>
      </c>
      <c r="DL29" t="s">
        <v>6</v>
      </c>
      <c r="DM29" t="s">
        <v>6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30</v>
      </c>
      <c r="DW29" t="str">
        <f>'1.Лок.смета.и.Акт'!D22</f>
        <v>100 м3</v>
      </c>
      <c r="DX29">
        <v>100</v>
      </c>
      <c r="DZ29" t="s">
        <v>6</v>
      </c>
      <c r="EA29" t="s">
        <v>6</v>
      </c>
      <c r="EB29" t="s">
        <v>6</v>
      </c>
      <c r="EC29" t="s">
        <v>6</v>
      </c>
      <c r="EE29">
        <v>59670271</v>
      </c>
      <c r="EF29">
        <v>2</v>
      </c>
      <c r="EG29" t="s">
        <v>21</v>
      </c>
      <c r="EH29">
        <v>1</v>
      </c>
      <c r="EI29" t="s">
        <v>22</v>
      </c>
      <c r="EJ29">
        <v>1</v>
      </c>
      <c r="EK29">
        <v>1001</v>
      </c>
      <c r="EL29" t="s">
        <v>23</v>
      </c>
      <c r="EM29" t="s">
        <v>24</v>
      </c>
      <c r="EO29" t="s">
        <v>6</v>
      </c>
      <c r="EQ29">
        <v>0</v>
      </c>
      <c r="ER29" t="e">
        <f>ES29+ET29+EV29</f>
        <v>#REF!</v>
      </c>
      <c r="ES29">
        <v>0</v>
      </c>
      <c r="ET29" s="23" t="e">
        <f>'1.Лок.смета.и.Акт'!#REF!</f>
        <v>#REF!</v>
      </c>
      <c r="EU29" s="23" t="e">
        <f>'1.Лок.смета.и.Акт'!#REF!</f>
        <v>#REF!</v>
      </c>
      <c r="EV29" s="23" t="e">
        <f>'1.Лок.смета.и.Акт'!#REF!</f>
        <v>#REF!</v>
      </c>
      <c r="EW29" t="e">
        <f>'1.Лок.смета.и.Акт'!#REF!</f>
        <v>#REF!</v>
      </c>
      <c r="EX29">
        <v>2.62</v>
      </c>
      <c r="EY29">
        <v>0</v>
      </c>
      <c r="FQ29">
        <v>0</v>
      </c>
      <c r="FR29">
        <f t="shared" si="39"/>
        <v>0</v>
      </c>
      <c r="FS29">
        <v>0</v>
      </c>
      <c r="FX29">
        <v>92</v>
      </c>
      <c r="FY29">
        <v>46</v>
      </c>
      <c r="GA29" t="s">
        <v>6</v>
      </c>
      <c r="GD29">
        <v>1</v>
      </c>
      <c r="GF29">
        <v>-480167143</v>
      </c>
      <c r="GG29">
        <v>2</v>
      </c>
      <c r="GH29">
        <v>1</v>
      </c>
      <c r="GI29">
        <v>4</v>
      </c>
      <c r="GJ29">
        <v>0</v>
      </c>
      <c r="GK29">
        <v>0</v>
      </c>
      <c r="GL29">
        <f t="shared" si="40"/>
        <v>0</v>
      </c>
      <c r="GM29" t="e">
        <f t="shared" si="41"/>
        <v>#REF!</v>
      </c>
      <c r="GN29" t="e">
        <f t="shared" si="42"/>
        <v>#REF!</v>
      </c>
      <c r="GO29">
        <f t="shared" si="43"/>
        <v>0</v>
      </c>
      <c r="GP29">
        <f t="shared" si="44"/>
        <v>0</v>
      </c>
      <c r="GR29">
        <v>0</v>
      </c>
      <c r="GS29">
        <v>0</v>
      </c>
      <c r="GT29">
        <v>0</v>
      </c>
      <c r="GU29" t="s">
        <v>6</v>
      </c>
      <c r="GV29">
        <f t="shared" si="45"/>
        <v>0</v>
      </c>
      <c r="GW29">
        <v>1</v>
      </c>
      <c r="GX29">
        <f t="shared" si="46"/>
        <v>0</v>
      </c>
      <c r="HA29">
        <v>0</v>
      </c>
      <c r="HB29">
        <v>0</v>
      </c>
      <c r="HC29">
        <f t="shared" si="47"/>
        <v>0</v>
      </c>
      <c r="HE29" t="s">
        <v>6</v>
      </c>
      <c r="HF29" t="s">
        <v>6</v>
      </c>
      <c r="HM29" t="s">
        <v>6</v>
      </c>
      <c r="HN29" t="s">
        <v>25</v>
      </c>
      <c r="HO29" t="s">
        <v>26</v>
      </c>
      <c r="HP29" t="s">
        <v>23</v>
      </c>
      <c r="HQ29" t="s">
        <v>23</v>
      </c>
      <c r="IF29">
        <v>-1</v>
      </c>
      <c r="IK29">
        <v>0</v>
      </c>
      <c r="IL29" t="s">
        <v>361</v>
      </c>
      <c r="IM29">
        <v>2.335</v>
      </c>
    </row>
    <row r="30" spans="1:247" x14ac:dyDescent="0.2">
      <c r="A30">
        <v>17</v>
      </c>
      <c r="B30">
        <v>1</v>
      </c>
      <c r="C30">
        <f>ROW(SmtRes!A15)</f>
        <v>15</v>
      </c>
      <c r="D30">
        <f>ROW(EtalonRes!A15)</f>
        <v>15</v>
      </c>
      <c r="E30" t="s">
        <v>58</v>
      </c>
      <c r="F30" t="s">
        <v>59</v>
      </c>
      <c r="G30" t="s">
        <v>60</v>
      </c>
      <c r="H30" t="s">
        <v>61</v>
      </c>
      <c r="I30">
        <f>'1.Лок.смета.и.Акт'!E23</f>
        <v>7.58</v>
      </c>
      <c r="J30">
        <v>0</v>
      </c>
      <c r="K30">
        <f>ROUND((37+73+351)/100,7)</f>
        <v>4.6100000000000003</v>
      </c>
      <c r="O30" t="e">
        <f t="shared" si="14"/>
        <v>#REF!</v>
      </c>
      <c r="P30" t="e">
        <f t="shared" si="15"/>
        <v>#REF!</v>
      </c>
      <c r="Q30" t="e">
        <f t="shared" si="16"/>
        <v>#REF!</v>
      </c>
      <c r="R30" t="e">
        <f t="shared" si="17"/>
        <v>#REF!</v>
      </c>
      <c r="S30" t="e">
        <f t="shared" si="18"/>
        <v>#REF!</v>
      </c>
      <c r="T30">
        <f t="shared" si="19"/>
        <v>0</v>
      </c>
      <c r="U30" t="e">
        <f t="shared" si="20"/>
        <v>#REF!</v>
      </c>
      <c r="V30">
        <f t="shared" si="21"/>
        <v>26.226800000000001</v>
      </c>
      <c r="W30">
        <f t="shared" si="22"/>
        <v>0</v>
      </c>
      <c r="X30" t="e">
        <f t="shared" si="23"/>
        <v>#REF!</v>
      </c>
      <c r="Y30" t="e">
        <f t="shared" si="24"/>
        <v>#REF!</v>
      </c>
      <c r="AA30">
        <v>70471737</v>
      </c>
      <c r="AB30" t="e">
        <f t="shared" si="25"/>
        <v>#REF!</v>
      </c>
      <c r="AC30" t="e">
        <f t="shared" si="26"/>
        <v>#REF!</v>
      </c>
      <c r="AD30" t="e">
        <f t="shared" si="27"/>
        <v>#REF!</v>
      </c>
      <c r="AE30" t="e">
        <f t="shared" si="48"/>
        <v>#REF!</v>
      </c>
      <c r="AF30" t="e">
        <f t="shared" si="50"/>
        <v>#REF!</v>
      </c>
      <c r="AG30">
        <f t="shared" si="28"/>
        <v>0</v>
      </c>
      <c r="AH30" t="e">
        <f t="shared" si="51"/>
        <v>#REF!</v>
      </c>
      <c r="AI30">
        <f t="shared" si="49"/>
        <v>3.46</v>
      </c>
      <c r="AJ30">
        <f t="shared" si="29"/>
        <v>0</v>
      </c>
      <c r="AK30" t="e">
        <f>AL30+AM30+AO30</f>
        <v>#REF!</v>
      </c>
      <c r="AL30" s="23" t="e">
        <f>'1.Лок.смета.и.Акт'!#REF!</f>
        <v>#REF!</v>
      </c>
      <c r="AM30" s="23" t="e">
        <f>'1.Лок.смета.и.Акт'!#REF!</f>
        <v>#REF!</v>
      </c>
      <c r="AN30" s="23" t="e">
        <f>'1.Лок.смета.и.Акт'!#REF!</f>
        <v>#REF!</v>
      </c>
      <c r="AO30" s="23" t="e">
        <f>'1.Лок.смета.и.Акт'!#REF!</f>
        <v>#REF!</v>
      </c>
      <c r="AP30">
        <v>0</v>
      </c>
      <c r="AQ30" t="e">
        <f>'1.Лок.смета.и.Акт'!#REF!</f>
        <v>#REF!</v>
      </c>
      <c r="AR30">
        <v>3.46</v>
      </c>
      <c r="AS30">
        <v>0</v>
      </c>
      <c r="AT30">
        <v>97</v>
      </c>
      <c r="AU30">
        <v>51</v>
      </c>
      <c r="AV30">
        <v>1</v>
      </c>
      <c r="AW30">
        <v>1</v>
      </c>
      <c r="AZ30">
        <v>1</v>
      </c>
      <c r="BA30" t="e">
        <f>'1.Лок.смета.и.Акт'!#REF!</f>
        <v>#REF!</v>
      </c>
      <c r="BB30" t="e">
        <f>'1.Лок.смета.и.Акт'!#REF!</f>
        <v>#REF!</v>
      </c>
      <c r="BC30" t="e">
        <f>'1.Лок.смета.и.Акт'!#REF!</f>
        <v>#REF!</v>
      </c>
      <c r="BD30" t="s">
        <v>6</v>
      </c>
      <c r="BE30" t="s">
        <v>6</v>
      </c>
      <c r="BF30" t="s">
        <v>6</v>
      </c>
      <c r="BG30" t="s">
        <v>6</v>
      </c>
      <c r="BH30">
        <v>0</v>
      </c>
      <c r="BI30">
        <v>2</v>
      </c>
      <c r="BJ30" t="s">
        <v>62</v>
      </c>
      <c r="BM30">
        <v>108001</v>
      </c>
      <c r="BN30">
        <v>0</v>
      </c>
      <c r="BO30" t="s">
        <v>6</v>
      </c>
      <c r="BP30">
        <v>0</v>
      </c>
      <c r="BQ30">
        <v>3</v>
      </c>
      <c r="BR30">
        <v>0</v>
      </c>
      <c r="BS30" t="e">
        <f>'1.Лок.смета.и.Акт'!#REF!</f>
        <v>#REF!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6</v>
      </c>
      <c r="BZ30">
        <v>97</v>
      </c>
      <c r="CA30">
        <v>51</v>
      </c>
      <c r="CB30" t="s">
        <v>6</v>
      </c>
      <c r="CE30">
        <v>0</v>
      </c>
      <c r="CF30">
        <v>0</v>
      </c>
      <c r="CG30">
        <v>0</v>
      </c>
      <c r="CM30">
        <v>0</v>
      </c>
      <c r="CN30" t="s">
        <v>6</v>
      </c>
      <c r="CO30">
        <v>0</v>
      </c>
      <c r="CP30" t="e">
        <f t="shared" si="30"/>
        <v>#REF!</v>
      </c>
      <c r="CQ30" t="e">
        <f t="shared" si="31"/>
        <v>#REF!</v>
      </c>
      <c r="CR30" t="e">
        <f t="shared" si="32"/>
        <v>#REF!</v>
      </c>
      <c r="CS30" t="e">
        <f t="shared" si="33"/>
        <v>#REF!</v>
      </c>
      <c r="CT30" t="e">
        <f t="shared" si="34"/>
        <v>#REF!</v>
      </c>
      <c r="CU30">
        <f t="shared" si="35"/>
        <v>0</v>
      </c>
      <c r="CV30" t="e">
        <f t="shared" si="36"/>
        <v>#REF!</v>
      </c>
      <c r="CW30">
        <f t="shared" si="37"/>
        <v>3.46</v>
      </c>
      <c r="CX30">
        <f t="shared" si="38"/>
        <v>0</v>
      </c>
      <c r="CY30" t="e">
        <f t="shared" si="52"/>
        <v>#REF!</v>
      </c>
      <c r="CZ30" t="e">
        <f t="shared" si="53"/>
        <v>#REF!</v>
      </c>
      <c r="DC30" t="s">
        <v>6</v>
      </c>
      <c r="DD30" t="s">
        <v>6</v>
      </c>
      <c r="DE30" t="s">
        <v>6</v>
      </c>
      <c r="DF30" t="s">
        <v>6</v>
      </c>
      <c r="DG30" t="s">
        <v>6</v>
      </c>
      <c r="DH30" t="s">
        <v>6</v>
      </c>
      <c r="DI30" t="s">
        <v>6</v>
      </c>
      <c r="DJ30" t="s">
        <v>6</v>
      </c>
      <c r="DK30" t="s">
        <v>6</v>
      </c>
      <c r="DL30" t="s">
        <v>6</v>
      </c>
      <c r="DM30" t="s">
        <v>6</v>
      </c>
      <c r="DN30">
        <v>0</v>
      </c>
      <c r="DO30">
        <v>0</v>
      </c>
      <c r="DP30">
        <v>1</v>
      </c>
      <c r="DQ30">
        <v>1</v>
      </c>
      <c r="DU30">
        <v>1003</v>
      </c>
      <c r="DV30" t="s">
        <v>61</v>
      </c>
      <c r="DW30" t="str">
        <f>'1.Лок.смета.и.Акт'!D23</f>
        <v>100 м</v>
      </c>
      <c r="DX30">
        <v>100</v>
      </c>
      <c r="DZ30" t="s">
        <v>6</v>
      </c>
      <c r="EA30" t="s">
        <v>6</v>
      </c>
      <c r="EB30" t="s">
        <v>6</v>
      </c>
      <c r="EC30" t="s">
        <v>6</v>
      </c>
      <c r="EE30">
        <v>59670139</v>
      </c>
      <c r="EF30">
        <v>3</v>
      </c>
      <c r="EG30" t="s">
        <v>63</v>
      </c>
      <c r="EH30">
        <v>0</v>
      </c>
      <c r="EI30" t="s">
        <v>6</v>
      </c>
      <c r="EJ30">
        <v>2</v>
      </c>
      <c r="EK30">
        <v>108001</v>
      </c>
      <c r="EL30" t="s">
        <v>64</v>
      </c>
      <c r="EM30" t="s">
        <v>65</v>
      </c>
      <c r="EO30" t="s">
        <v>6</v>
      </c>
      <c r="EQ30">
        <v>0</v>
      </c>
      <c r="ER30" t="e">
        <f>ES30+ET30+EV30</f>
        <v>#REF!</v>
      </c>
      <c r="ES30" s="23" t="e">
        <f>'1.Лок.смета.и.Акт'!#REF!</f>
        <v>#REF!</v>
      </c>
      <c r="ET30" s="23" t="e">
        <f>'1.Лок.смета.и.Акт'!#REF!</f>
        <v>#REF!</v>
      </c>
      <c r="EU30" s="23" t="e">
        <f>'1.Лок.смета.и.Акт'!#REF!</f>
        <v>#REF!</v>
      </c>
      <c r="EV30" s="23" t="e">
        <f>'1.Лок.смета.и.Акт'!#REF!</f>
        <v>#REF!</v>
      </c>
      <c r="EW30" t="e">
        <f>'1.Лок.смета.и.Акт'!#REF!</f>
        <v>#REF!</v>
      </c>
      <c r="EX30">
        <v>3.46</v>
      </c>
      <c r="EY30">
        <v>0</v>
      </c>
      <c r="FQ30">
        <v>0</v>
      </c>
      <c r="FR30">
        <f t="shared" si="39"/>
        <v>0</v>
      </c>
      <c r="FS30">
        <v>0</v>
      </c>
      <c r="FX30">
        <v>97</v>
      </c>
      <c r="FY30">
        <v>51</v>
      </c>
      <c r="GA30" t="s">
        <v>6</v>
      </c>
      <c r="GD30">
        <v>1</v>
      </c>
      <c r="GF30">
        <v>695552178</v>
      </c>
      <c r="GG30">
        <v>2</v>
      </c>
      <c r="GH30">
        <v>1</v>
      </c>
      <c r="GI30">
        <v>4</v>
      </c>
      <c r="GJ30">
        <v>0</v>
      </c>
      <c r="GK30">
        <v>0</v>
      </c>
      <c r="GL30">
        <f t="shared" si="40"/>
        <v>0</v>
      </c>
      <c r="GM30" t="e">
        <f t="shared" si="41"/>
        <v>#REF!</v>
      </c>
      <c r="GN30">
        <f t="shared" si="42"/>
        <v>0</v>
      </c>
      <c r="GO30" t="e">
        <f t="shared" si="43"/>
        <v>#REF!</v>
      </c>
      <c r="GP30">
        <f t="shared" si="44"/>
        <v>0</v>
      </c>
      <c r="GR30">
        <v>0</v>
      </c>
      <c r="GS30">
        <v>3</v>
      </c>
      <c r="GT30">
        <v>0</v>
      </c>
      <c r="GU30" t="s">
        <v>6</v>
      </c>
      <c r="GV30">
        <f t="shared" si="45"/>
        <v>0</v>
      </c>
      <c r="GW30">
        <v>1</v>
      </c>
      <c r="GX30">
        <f t="shared" si="46"/>
        <v>0</v>
      </c>
      <c r="HA30">
        <v>0</v>
      </c>
      <c r="HB30">
        <v>0</v>
      </c>
      <c r="HC30">
        <f t="shared" si="47"/>
        <v>0</v>
      </c>
      <c r="HE30" t="s">
        <v>6</v>
      </c>
      <c r="HF30" t="s">
        <v>6</v>
      </c>
      <c r="HM30" t="s">
        <v>6</v>
      </c>
      <c r="HN30" t="s">
        <v>66</v>
      </c>
      <c r="HO30" t="s">
        <v>67</v>
      </c>
      <c r="HP30" t="s">
        <v>64</v>
      </c>
      <c r="HQ30" t="s">
        <v>64</v>
      </c>
      <c r="IF30">
        <v>-1</v>
      </c>
      <c r="IK30">
        <v>0</v>
      </c>
      <c r="IL30" t="s">
        <v>362</v>
      </c>
      <c r="IM30">
        <v>4.6100000000000003</v>
      </c>
    </row>
    <row r="31" spans="1:247" x14ac:dyDescent="0.2">
      <c r="A31">
        <v>17</v>
      </c>
      <c r="B31">
        <v>1</v>
      </c>
      <c r="C31">
        <f>ROW(SmtRes!A20)</f>
        <v>20</v>
      </c>
      <c r="D31">
        <f>ROW(EtalonRes!A20)</f>
        <v>20</v>
      </c>
      <c r="E31" t="s">
        <v>68</v>
      </c>
      <c r="F31" t="s">
        <v>69</v>
      </c>
      <c r="G31" t="s">
        <v>70</v>
      </c>
      <c r="H31" t="s">
        <v>61</v>
      </c>
      <c r="I31">
        <f>'1.Лок.смета.и.Акт'!E24</f>
        <v>20.7</v>
      </c>
      <c r="J31">
        <v>0</v>
      </c>
      <c r="K31">
        <f>ROUND((73+351*4)/100,7)</f>
        <v>14.77</v>
      </c>
      <c r="O31" t="e">
        <f t="shared" si="14"/>
        <v>#REF!</v>
      </c>
      <c r="P31" t="e">
        <f t="shared" si="15"/>
        <v>#REF!</v>
      </c>
      <c r="Q31" t="e">
        <f t="shared" si="16"/>
        <v>#REF!</v>
      </c>
      <c r="R31" t="e">
        <f t="shared" si="17"/>
        <v>#REF!</v>
      </c>
      <c r="S31" t="e">
        <f t="shared" si="18"/>
        <v>#REF!</v>
      </c>
      <c r="T31">
        <f t="shared" si="19"/>
        <v>0</v>
      </c>
      <c r="U31" t="e">
        <f t="shared" si="20"/>
        <v>#REF!</v>
      </c>
      <c r="V31">
        <f t="shared" si="21"/>
        <v>37.673999999999999</v>
      </c>
      <c r="W31">
        <f t="shared" si="22"/>
        <v>0</v>
      </c>
      <c r="X31" t="e">
        <f t="shared" si="23"/>
        <v>#REF!</v>
      </c>
      <c r="Y31" t="e">
        <f t="shared" si="24"/>
        <v>#REF!</v>
      </c>
      <c r="AA31">
        <v>70471737</v>
      </c>
      <c r="AB31" t="e">
        <f t="shared" si="25"/>
        <v>#REF!</v>
      </c>
      <c r="AC31" t="e">
        <f t="shared" si="26"/>
        <v>#REF!</v>
      </c>
      <c r="AD31" t="e">
        <f t="shared" si="27"/>
        <v>#REF!</v>
      </c>
      <c r="AE31" t="e">
        <f t="shared" si="48"/>
        <v>#REF!</v>
      </c>
      <c r="AF31" t="e">
        <f t="shared" si="50"/>
        <v>#REF!</v>
      </c>
      <c r="AG31">
        <f t="shared" si="28"/>
        <v>0</v>
      </c>
      <c r="AH31" t="e">
        <f t="shared" si="51"/>
        <v>#REF!</v>
      </c>
      <c r="AI31">
        <f t="shared" si="49"/>
        <v>1.82</v>
      </c>
      <c r="AJ31">
        <f t="shared" si="29"/>
        <v>0</v>
      </c>
      <c r="AK31" t="e">
        <f>AL31+AM31+AO31</f>
        <v>#REF!</v>
      </c>
      <c r="AL31" s="23" t="e">
        <f>'1.Лок.смета.и.Акт'!#REF!</f>
        <v>#REF!</v>
      </c>
      <c r="AM31" s="23" t="e">
        <f>'1.Лок.смета.и.Акт'!#REF!</f>
        <v>#REF!</v>
      </c>
      <c r="AN31" s="23" t="e">
        <f>'1.Лок.смета.и.Акт'!#REF!</f>
        <v>#REF!</v>
      </c>
      <c r="AO31" s="23" t="e">
        <f>'1.Лок.смета.и.Акт'!#REF!</f>
        <v>#REF!</v>
      </c>
      <c r="AP31">
        <v>0</v>
      </c>
      <c r="AQ31" t="e">
        <f>'1.Лок.смета.и.Акт'!#REF!</f>
        <v>#REF!</v>
      </c>
      <c r="AR31">
        <v>1.82</v>
      </c>
      <c r="AS31">
        <v>0</v>
      </c>
      <c r="AT31">
        <v>97</v>
      </c>
      <c r="AU31">
        <v>51</v>
      </c>
      <c r="AV31">
        <v>1</v>
      </c>
      <c r="AW31">
        <v>1</v>
      </c>
      <c r="AZ31">
        <v>1</v>
      </c>
      <c r="BA31" t="e">
        <f>'1.Лок.смета.и.Акт'!#REF!</f>
        <v>#REF!</v>
      </c>
      <c r="BB31" t="e">
        <f>'1.Лок.смета.и.Акт'!#REF!</f>
        <v>#REF!</v>
      </c>
      <c r="BC31" t="e">
        <f>'1.Лок.смета.и.Акт'!#REF!</f>
        <v>#REF!</v>
      </c>
      <c r="BD31" t="s">
        <v>6</v>
      </c>
      <c r="BE31" t="s">
        <v>6</v>
      </c>
      <c r="BF31" t="s">
        <v>6</v>
      </c>
      <c r="BG31" t="s">
        <v>6</v>
      </c>
      <c r="BH31">
        <v>0</v>
      </c>
      <c r="BI31">
        <v>2</v>
      </c>
      <c r="BJ31" t="s">
        <v>71</v>
      </c>
      <c r="BM31">
        <v>108001</v>
      </c>
      <c r="BN31">
        <v>0</v>
      </c>
      <c r="BO31" t="s">
        <v>6</v>
      </c>
      <c r="BP31">
        <v>0</v>
      </c>
      <c r="BQ31">
        <v>3</v>
      </c>
      <c r="BR31">
        <v>0</v>
      </c>
      <c r="BS31" t="e">
        <f>'1.Лок.смета.и.Акт'!#REF!</f>
        <v>#REF!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6</v>
      </c>
      <c r="BZ31">
        <v>97</v>
      </c>
      <c r="CA31">
        <v>51</v>
      </c>
      <c r="CB31" t="s">
        <v>6</v>
      </c>
      <c r="CE31">
        <v>0</v>
      </c>
      <c r="CF31">
        <v>0</v>
      </c>
      <c r="CG31">
        <v>0</v>
      </c>
      <c r="CM31">
        <v>0</v>
      </c>
      <c r="CN31" t="s">
        <v>6</v>
      </c>
      <c r="CO31">
        <v>0</v>
      </c>
      <c r="CP31" t="e">
        <f t="shared" si="30"/>
        <v>#REF!</v>
      </c>
      <c r="CQ31" t="e">
        <f t="shared" si="31"/>
        <v>#REF!</v>
      </c>
      <c r="CR31" t="e">
        <f t="shared" si="32"/>
        <v>#REF!</v>
      </c>
      <c r="CS31" t="e">
        <f t="shared" si="33"/>
        <v>#REF!</v>
      </c>
      <c r="CT31" t="e">
        <f t="shared" si="34"/>
        <v>#REF!</v>
      </c>
      <c r="CU31">
        <f t="shared" si="35"/>
        <v>0</v>
      </c>
      <c r="CV31" t="e">
        <f t="shared" si="36"/>
        <v>#REF!</v>
      </c>
      <c r="CW31">
        <f t="shared" si="37"/>
        <v>1.82</v>
      </c>
      <c r="CX31">
        <f t="shared" si="38"/>
        <v>0</v>
      </c>
      <c r="CY31" t="e">
        <f t="shared" si="52"/>
        <v>#REF!</v>
      </c>
      <c r="CZ31" t="e">
        <f t="shared" si="53"/>
        <v>#REF!</v>
      </c>
      <c r="DC31" t="s">
        <v>6</v>
      </c>
      <c r="DD31" t="s">
        <v>6</v>
      </c>
      <c r="DE31" t="s">
        <v>6</v>
      </c>
      <c r="DF31" t="s">
        <v>6</v>
      </c>
      <c r="DG31" t="s">
        <v>6</v>
      </c>
      <c r="DH31" t="s">
        <v>6</v>
      </c>
      <c r="DI31" t="s">
        <v>6</v>
      </c>
      <c r="DJ31" t="s">
        <v>6</v>
      </c>
      <c r="DK31" t="s">
        <v>6</v>
      </c>
      <c r="DL31" t="s">
        <v>6</v>
      </c>
      <c r="DM31" t="s">
        <v>6</v>
      </c>
      <c r="DN31">
        <v>0</v>
      </c>
      <c r="DO31">
        <v>0</v>
      </c>
      <c r="DP31">
        <v>1</v>
      </c>
      <c r="DQ31">
        <v>1</v>
      </c>
      <c r="DU31">
        <v>1003</v>
      </c>
      <c r="DV31" t="s">
        <v>61</v>
      </c>
      <c r="DW31" t="str">
        <f>'1.Лок.смета.и.Акт'!D24</f>
        <v>100 м</v>
      </c>
      <c r="DX31">
        <v>100</v>
      </c>
      <c r="DZ31" t="s">
        <v>6</v>
      </c>
      <c r="EA31" t="s">
        <v>6</v>
      </c>
      <c r="EB31" t="s">
        <v>6</v>
      </c>
      <c r="EC31" t="s">
        <v>6</v>
      </c>
      <c r="EE31">
        <v>59670139</v>
      </c>
      <c r="EF31">
        <v>3</v>
      </c>
      <c r="EG31" t="s">
        <v>63</v>
      </c>
      <c r="EH31">
        <v>0</v>
      </c>
      <c r="EI31" t="s">
        <v>6</v>
      </c>
      <c r="EJ31">
        <v>2</v>
      </c>
      <c r="EK31">
        <v>108001</v>
      </c>
      <c r="EL31" t="s">
        <v>64</v>
      </c>
      <c r="EM31" t="s">
        <v>65</v>
      </c>
      <c r="EO31" t="s">
        <v>6</v>
      </c>
      <c r="EQ31">
        <v>0</v>
      </c>
      <c r="ER31" t="e">
        <f>ES31+ET31+EV31</f>
        <v>#REF!</v>
      </c>
      <c r="ES31" s="23" t="e">
        <f>'1.Лок.смета.и.Акт'!#REF!</f>
        <v>#REF!</v>
      </c>
      <c r="ET31" s="23" t="e">
        <f>'1.Лок.смета.и.Акт'!#REF!</f>
        <v>#REF!</v>
      </c>
      <c r="EU31" s="23" t="e">
        <f>'1.Лок.смета.и.Акт'!#REF!</f>
        <v>#REF!</v>
      </c>
      <c r="EV31" s="23" t="e">
        <f>'1.Лок.смета.и.Акт'!#REF!</f>
        <v>#REF!</v>
      </c>
      <c r="EW31" t="e">
        <f>'1.Лок.смета.и.Акт'!#REF!</f>
        <v>#REF!</v>
      </c>
      <c r="EX31">
        <v>1.82</v>
      </c>
      <c r="EY31">
        <v>0</v>
      </c>
      <c r="FQ31">
        <v>0</v>
      </c>
      <c r="FR31">
        <f t="shared" si="39"/>
        <v>0</v>
      </c>
      <c r="FS31">
        <v>0</v>
      </c>
      <c r="FX31">
        <v>97</v>
      </c>
      <c r="FY31">
        <v>51</v>
      </c>
      <c r="GA31" t="s">
        <v>6</v>
      </c>
      <c r="GD31">
        <v>1</v>
      </c>
      <c r="GF31">
        <v>1869722779</v>
      </c>
      <c r="GG31">
        <v>2</v>
      </c>
      <c r="GH31">
        <v>1</v>
      </c>
      <c r="GI31">
        <v>4</v>
      </c>
      <c r="GJ31">
        <v>0</v>
      </c>
      <c r="GK31">
        <v>0</v>
      </c>
      <c r="GL31">
        <f t="shared" si="40"/>
        <v>0</v>
      </c>
      <c r="GM31" t="e">
        <f t="shared" si="41"/>
        <v>#REF!</v>
      </c>
      <c r="GN31">
        <f t="shared" si="42"/>
        <v>0</v>
      </c>
      <c r="GO31" t="e">
        <f t="shared" si="43"/>
        <v>#REF!</v>
      </c>
      <c r="GP31">
        <f t="shared" si="44"/>
        <v>0</v>
      </c>
      <c r="GR31">
        <v>0</v>
      </c>
      <c r="GS31">
        <v>3</v>
      </c>
      <c r="GT31">
        <v>0</v>
      </c>
      <c r="GU31" t="s">
        <v>6</v>
      </c>
      <c r="GV31">
        <f t="shared" si="45"/>
        <v>0</v>
      </c>
      <c r="GW31">
        <v>1</v>
      </c>
      <c r="GX31">
        <f t="shared" si="46"/>
        <v>0</v>
      </c>
      <c r="HA31">
        <v>0</v>
      </c>
      <c r="HB31">
        <v>0</v>
      </c>
      <c r="HC31">
        <f t="shared" si="47"/>
        <v>0</v>
      </c>
      <c r="HE31" t="s">
        <v>6</v>
      </c>
      <c r="HF31" t="s">
        <v>6</v>
      </c>
      <c r="HM31" t="s">
        <v>6</v>
      </c>
      <c r="HN31" t="s">
        <v>66</v>
      </c>
      <c r="HO31" t="s">
        <v>67</v>
      </c>
      <c r="HP31" t="s">
        <v>64</v>
      </c>
      <c r="HQ31" t="s">
        <v>64</v>
      </c>
      <c r="IF31">
        <v>-1</v>
      </c>
      <c r="IK31">
        <v>0</v>
      </c>
      <c r="IL31" t="s">
        <v>363</v>
      </c>
      <c r="IM31">
        <v>14.77</v>
      </c>
    </row>
    <row r="32" spans="1:247" x14ac:dyDescent="0.2">
      <c r="A32">
        <v>17</v>
      </c>
      <c r="B32">
        <v>1</v>
      </c>
      <c r="E32" t="s">
        <v>72</v>
      </c>
      <c r="F32" t="e">
        <f>'1.Лок.смета.и.Акт'!#REF!</f>
        <v>#REF!</v>
      </c>
      <c r="G32" t="s">
        <v>74</v>
      </c>
      <c r="H32" t="s">
        <v>75</v>
      </c>
      <c r="I32" t="e">
        <f>'1.Лок.смета.и.Акт'!#REF!</f>
        <v>#REF!</v>
      </c>
      <c r="J32">
        <v>0</v>
      </c>
      <c r="K32">
        <v>11.234999999999999</v>
      </c>
      <c r="O32" t="e">
        <f t="shared" si="14"/>
        <v>#REF!</v>
      </c>
      <c r="P32" t="e">
        <f t="shared" si="15"/>
        <v>#REF!</v>
      </c>
      <c r="Q32" t="e">
        <f t="shared" si="16"/>
        <v>#REF!</v>
      </c>
      <c r="R32" t="e">
        <f t="shared" si="17"/>
        <v>#REF!</v>
      </c>
      <c r="S32" t="e">
        <f t="shared" si="18"/>
        <v>#REF!</v>
      </c>
      <c r="T32" t="e">
        <f t="shared" si="19"/>
        <v>#REF!</v>
      </c>
      <c r="U32" t="e">
        <f t="shared" si="20"/>
        <v>#REF!</v>
      </c>
      <c r="V32" t="e">
        <f t="shared" si="21"/>
        <v>#REF!</v>
      </c>
      <c r="W32" t="e">
        <f t="shared" si="22"/>
        <v>#REF!</v>
      </c>
      <c r="X32" t="e">
        <f t="shared" si="23"/>
        <v>#REF!</v>
      </c>
      <c r="Y32" t="e">
        <f t="shared" si="24"/>
        <v>#REF!</v>
      </c>
      <c r="AA32">
        <v>70471737</v>
      </c>
      <c r="AB32" t="e">
        <f t="shared" si="25"/>
        <v>#REF!</v>
      </c>
      <c r="AC32" t="e">
        <f t="shared" si="26"/>
        <v>#REF!</v>
      </c>
      <c r="AD32">
        <f t="shared" si="27"/>
        <v>0</v>
      </c>
      <c r="AE32">
        <f t="shared" si="48"/>
        <v>0</v>
      </c>
      <c r="AF32">
        <f t="shared" si="50"/>
        <v>0</v>
      </c>
      <c r="AG32">
        <f t="shared" si="28"/>
        <v>0</v>
      </c>
      <c r="AH32">
        <f t="shared" si="51"/>
        <v>0</v>
      </c>
      <c r="AI32">
        <f t="shared" si="49"/>
        <v>0</v>
      </c>
      <c r="AJ32">
        <f t="shared" si="29"/>
        <v>0</v>
      </c>
      <c r="AK32">
        <v>16065</v>
      </c>
      <c r="AL32" s="23" t="e">
        <f>'1.Лок.смета.и.Акт'!#REF!</f>
        <v>#REF!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125</v>
      </c>
      <c r="AU32">
        <v>65</v>
      </c>
      <c r="AV32">
        <v>1</v>
      </c>
      <c r="AW32">
        <v>1</v>
      </c>
      <c r="AZ32">
        <v>1</v>
      </c>
      <c r="BA32">
        <v>1</v>
      </c>
      <c r="BB32">
        <v>1</v>
      </c>
      <c r="BC32" t="e">
        <f>'1.Лок.смета.и.Акт'!#REF!</f>
        <v>#REF!</v>
      </c>
      <c r="BD32" t="s">
        <v>6</v>
      </c>
      <c r="BE32" t="s">
        <v>6</v>
      </c>
      <c r="BF32" t="s">
        <v>6</v>
      </c>
      <c r="BG32" t="s">
        <v>6</v>
      </c>
      <c r="BH32">
        <v>3</v>
      </c>
      <c r="BI32">
        <v>4</v>
      </c>
      <c r="BJ32" t="s">
        <v>6</v>
      </c>
      <c r="BM32">
        <v>0</v>
      </c>
      <c r="BN32">
        <v>0</v>
      </c>
      <c r="BO32" t="s">
        <v>6</v>
      </c>
      <c r="BP32">
        <v>0</v>
      </c>
      <c r="BQ32">
        <v>16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6</v>
      </c>
      <c r="BZ32">
        <v>125</v>
      </c>
      <c r="CA32">
        <v>65</v>
      </c>
      <c r="CB32" t="s">
        <v>6</v>
      </c>
      <c r="CE32">
        <v>0</v>
      </c>
      <c r="CF32">
        <v>0</v>
      </c>
      <c r="CG32">
        <v>0</v>
      </c>
      <c r="CM32">
        <v>0</v>
      </c>
      <c r="CN32" t="s">
        <v>6</v>
      </c>
      <c r="CO32">
        <v>0</v>
      </c>
      <c r="CP32" t="e">
        <f t="shared" si="30"/>
        <v>#REF!</v>
      </c>
      <c r="CQ32" t="e">
        <f>AC32</f>
        <v>#REF!</v>
      </c>
      <c r="CR32">
        <f>(((ET32)-(EU32)*BS32)+AE32*BS32)</f>
        <v>0</v>
      </c>
      <c r="CS32">
        <f t="shared" si="33"/>
        <v>0</v>
      </c>
      <c r="CT32">
        <f t="shared" si="34"/>
        <v>0</v>
      </c>
      <c r="CU32">
        <f t="shared" si="35"/>
        <v>0</v>
      </c>
      <c r="CV32">
        <f t="shared" si="36"/>
        <v>0</v>
      </c>
      <c r="CW32">
        <f t="shared" si="37"/>
        <v>0</v>
      </c>
      <c r="CX32">
        <f t="shared" si="38"/>
        <v>0</v>
      </c>
      <c r="CY32" t="e">
        <f t="shared" si="52"/>
        <v>#REF!</v>
      </c>
      <c r="CZ32" t="e">
        <f t="shared" si="53"/>
        <v>#REF!</v>
      </c>
      <c r="DC32" t="s">
        <v>6</v>
      </c>
      <c r="DD32" t="s">
        <v>6</v>
      </c>
      <c r="DE32" t="s">
        <v>6</v>
      </c>
      <c r="DF32" t="s">
        <v>6</v>
      </c>
      <c r="DG32" t="s">
        <v>6</v>
      </c>
      <c r="DH32" t="s">
        <v>6</v>
      </c>
      <c r="DI32" t="s">
        <v>6</v>
      </c>
      <c r="DJ32" t="s">
        <v>6</v>
      </c>
      <c r="DK32" t="s">
        <v>6</v>
      </c>
      <c r="DL32" t="s">
        <v>6</v>
      </c>
      <c r="DM32" t="s">
        <v>6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75</v>
      </c>
      <c r="DW32" t="e">
        <f>'1.Лок.смета.и.Акт'!#REF!</f>
        <v>#REF!</v>
      </c>
      <c r="DX32">
        <v>1</v>
      </c>
      <c r="DZ32" t="s">
        <v>6</v>
      </c>
      <c r="EA32" t="s">
        <v>6</v>
      </c>
      <c r="EB32" t="s">
        <v>6</v>
      </c>
      <c r="EC32" t="s">
        <v>6</v>
      </c>
      <c r="EE32">
        <v>59670236</v>
      </c>
      <c r="EF32">
        <v>16</v>
      </c>
      <c r="EG32" t="s">
        <v>76</v>
      </c>
      <c r="EH32">
        <v>0</v>
      </c>
      <c r="EI32" t="s">
        <v>6</v>
      </c>
      <c r="EJ32">
        <v>4</v>
      </c>
      <c r="EK32">
        <v>0</v>
      </c>
      <c r="EL32" t="s">
        <v>77</v>
      </c>
      <c r="EM32" t="s">
        <v>78</v>
      </c>
      <c r="EO32" t="s">
        <v>6</v>
      </c>
      <c r="EQ32">
        <v>0</v>
      </c>
      <c r="ER32">
        <v>16065</v>
      </c>
      <c r="ES32" s="23" t="e">
        <f>'1.Лок.смета.и.Акт'!#REF!</f>
        <v>#REF!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5</v>
      </c>
      <c r="FC32">
        <v>0</v>
      </c>
      <c r="FD32">
        <v>18</v>
      </c>
      <c r="FF32">
        <v>15750</v>
      </c>
      <c r="FQ32">
        <v>0</v>
      </c>
      <c r="FR32">
        <f t="shared" si="39"/>
        <v>0</v>
      </c>
      <c r="FS32">
        <v>0</v>
      </c>
      <c r="FX32">
        <v>125</v>
      </c>
      <c r="FY32">
        <v>65</v>
      </c>
      <c r="GA32" t="s">
        <v>79</v>
      </c>
      <c r="GD32">
        <v>1</v>
      </c>
      <c r="GF32">
        <v>994564535</v>
      </c>
      <c r="GG32">
        <v>2</v>
      </c>
      <c r="GH32">
        <v>3</v>
      </c>
      <c r="GI32">
        <v>4</v>
      </c>
      <c r="GJ32">
        <v>0</v>
      </c>
      <c r="GK32">
        <v>0</v>
      </c>
      <c r="GL32">
        <f t="shared" si="40"/>
        <v>0</v>
      </c>
      <c r="GM32" t="e">
        <f t="shared" si="41"/>
        <v>#REF!</v>
      </c>
      <c r="GN32">
        <f t="shared" si="42"/>
        <v>0</v>
      </c>
      <c r="GO32">
        <f t="shared" si="43"/>
        <v>0</v>
      </c>
      <c r="GP32" t="e">
        <f t="shared" si="44"/>
        <v>#REF!</v>
      </c>
      <c r="GR32">
        <v>1</v>
      </c>
      <c r="GS32">
        <v>1</v>
      </c>
      <c r="GT32">
        <v>0</v>
      </c>
      <c r="GU32" t="s">
        <v>6</v>
      </c>
      <c r="GV32">
        <f t="shared" si="45"/>
        <v>0</v>
      </c>
      <c r="GW32">
        <v>1</v>
      </c>
      <c r="GX32" t="e">
        <f t="shared" si="46"/>
        <v>#REF!</v>
      </c>
      <c r="HA32">
        <v>0</v>
      </c>
      <c r="HB32">
        <v>0</v>
      </c>
      <c r="HC32">
        <f t="shared" si="47"/>
        <v>0</v>
      </c>
      <c r="HE32" t="s">
        <v>80</v>
      </c>
      <c r="HF32" t="s">
        <v>27</v>
      </c>
      <c r="HG32" t="e">
        <f>ROUND(AC32*I32,2)</f>
        <v>#REF!</v>
      </c>
      <c r="HM32" t="s">
        <v>6</v>
      </c>
      <c r="HN32" t="s">
        <v>6</v>
      </c>
      <c r="HO32" t="s">
        <v>6</v>
      </c>
      <c r="HP32" t="s">
        <v>6</v>
      </c>
      <c r="HQ32" t="s">
        <v>6</v>
      </c>
      <c r="IF32">
        <v>-1</v>
      </c>
      <c r="IK32">
        <v>0</v>
      </c>
    </row>
    <row r="33" spans="1:247" x14ac:dyDescent="0.2">
      <c r="A33">
        <v>17</v>
      </c>
      <c r="B33">
        <v>1</v>
      </c>
      <c r="C33">
        <f>ROW(SmtRes!A25)</f>
        <v>25</v>
      </c>
      <c r="D33">
        <f>ROW(EtalonRes!A24)</f>
        <v>24</v>
      </c>
      <c r="E33" t="s">
        <v>81</v>
      </c>
      <c r="F33" t="s">
        <v>82</v>
      </c>
      <c r="G33" t="s">
        <v>83</v>
      </c>
      <c r="H33" t="s">
        <v>84</v>
      </c>
      <c r="I33">
        <f>'1.Лок.смета.и.Акт'!E25</f>
        <v>0.27600000000000002</v>
      </c>
      <c r="J33">
        <v>0</v>
      </c>
      <c r="K33">
        <f>ROUND(200/1000,7)</f>
        <v>0.2</v>
      </c>
      <c r="O33" t="e">
        <f t="shared" si="14"/>
        <v>#REF!</v>
      </c>
      <c r="P33" t="e">
        <f t="shared" si="15"/>
        <v>#REF!</v>
      </c>
      <c r="Q33">
        <f t="shared" si="16"/>
        <v>0</v>
      </c>
      <c r="R33">
        <f t="shared" si="17"/>
        <v>0</v>
      </c>
      <c r="S33" t="e">
        <f t="shared" si="18"/>
        <v>#REF!</v>
      </c>
      <c r="T33">
        <f t="shared" si="19"/>
        <v>0</v>
      </c>
      <c r="U33" t="e">
        <f t="shared" si="20"/>
        <v>#REF!</v>
      </c>
      <c r="V33">
        <f t="shared" si="21"/>
        <v>0</v>
      </c>
      <c r="W33">
        <f t="shared" si="22"/>
        <v>0</v>
      </c>
      <c r="X33" t="e">
        <f t="shared" si="23"/>
        <v>#REF!</v>
      </c>
      <c r="Y33" t="e">
        <f t="shared" si="24"/>
        <v>#REF!</v>
      </c>
      <c r="AA33">
        <v>70471737</v>
      </c>
      <c r="AB33" t="e">
        <f t="shared" si="25"/>
        <v>#REF!</v>
      </c>
      <c r="AC33" t="e">
        <f t="shared" si="26"/>
        <v>#REF!</v>
      </c>
      <c r="AD33">
        <f t="shared" si="27"/>
        <v>0</v>
      </c>
      <c r="AE33">
        <f t="shared" si="48"/>
        <v>0</v>
      </c>
      <c r="AF33" t="e">
        <f t="shared" si="50"/>
        <v>#REF!</v>
      </c>
      <c r="AG33">
        <f t="shared" si="28"/>
        <v>0</v>
      </c>
      <c r="AH33" t="e">
        <f t="shared" si="51"/>
        <v>#REF!</v>
      </c>
      <c r="AI33">
        <f t="shared" si="49"/>
        <v>0</v>
      </c>
      <c r="AJ33">
        <f t="shared" si="29"/>
        <v>0</v>
      </c>
      <c r="AK33" t="e">
        <f>AL33+AM33+AO33</f>
        <v>#REF!</v>
      </c>
      <c r="AL33" s="23" t="e">
        <f>'1.Лок.смета.и.Акт'!#REF!</f>
        <v>#REF!</v>
      </c>
      <c r="AM33">
        <v>0</v>
      </c>
      <c r="AN33">
        <v>0</v>
      </c>
      <c r="AO33" s="23" t="e">
        <f>'1.Лок.смета.и.Акт'!#REF!</f>
        <v>#REF!</v>
      </c>
      <c r="AP33">
        <v>0</v>
      </c>
      <c r="AQ33" t="e">
        <f>'1.Лок.смета.и.Акт'!#REF!</f>
        <v>#REF!</v>
      </c>
      <c r="AR33">
        <v>0</v>
      </c>
      <c r="AS33">
        <v>0</v>
      </c>
      <c r="AT33">
        <v>98</v>
      </c>
      <c r="AU33">
        <v>58</v>
      </c>
      <c r="AV33">
        <v>1</v>
      </c>
      <c r="AW33">
        <v>1</v>
      </c>
      <c r="AZ33">
        <v>1</v>
      </c>
      <c r="BA33" t="e">
        <f>'1.Лок.смета.и.Акт'!#REF!</f>
        <v>#REF!</v>
      </c>
      <c r="BB33">
        <v>11.25</v>
      </c>
      <c r="BC33" t="e">
        <f>'1.Лок.смета.и.Акт'!#REF!</f>
        <v>#REF!</v>
      </c>
      <c r="BD33" t="s">
        <v>6</v>
      </c>
      <c r="BE33" t="s">
        <v>6</v>
      </c>
      <c r="BF33" t="s">
        <v>6</v>
      </c>
      <c r="BG33" t="s">
        <v>6</v>
      </c>
      <c r="BH33">
        <v>0</v>
      </c>
      <c r="BI33">
        <v>1</v>
      </c>
      <c r="BJ33" t="s">
        <v>85</v>
      </c>
      <c r="BM33">
        <v>34001</v>
      </c>
      <c r="BN33">
        <v>0</v>
      </c>
      <c r="BO33" t="s">
        <v>6</v>
      </c>
      <c r="BP33">
        <v>0</v>
      </c>
      <c r="BQ33">
        <v>2</v>
      </c>
      <c r="BR33">
        <v>0</v>
      </c>
      <c r="BS33">
        <v>36.67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6</v>
      </c>
      <c r="BZ33">
        <v>98</v>
      </c>
      <c r="CA33">
        <v>58</v>
      </c>
      <c r="CB33" t="s">
        <v>6</v>
      </c>
      <c r="CE33">
        <v>0</v>
      </c>
      <c r="CF33">
        <v>0</v>
      </c>
      <c r="CG33">
        <v>0</v>
      </c>
      <c r="CM33">
        <v>0</v>
      </c>
      <c r="CN33" t="s">
        <v>6</v>
      </c>
      <c r="CO33">
        <v>0</v>
      </c>
      <c r="CP33" t="e">
        <f t="shared" si="30"/>
        <v>#REF!</v>
      </c>
      <c r="CQ33" t="e">
        <f t="shared" ref="CQ33:CQ40" si="54">AC33*BC33</f>
        <v>#REF!</v>
      </c>
      <c r="CR33">
        <f t="shared" ref="CR33:CR40" si="55">(((ET33)*BB33-(EU33)*BS33)+AE33*BS33)</f>
        <v>0</v>
      </c>
      <c r="CS33">
        <f t="shared" si="33"/>
        <v>0</v>
      </c>
      <c r="CT33" t="e">
        <f t="shared" si="34"/>
        <v>#REF!</v>
      </c>
      <c r="CU33">
        <f t="shared" si="35"/>
        <v>0</v>
      </c>
      <c r="CV33" t="e">
        <f t="shared" si="36"/>
        <v>#REF!</v>
      </c>
      <c r="CW33">
        <f t="shared" si="37"/>
        <v>0</v>
      </c>
      <c r="CX33">
        <f t="shared" si="38"/>
        <v>0</v>
      </c>
      <c r="CY33" t="e">
        <f t="shared" si="52"/>
        <v>#REF!</v>
      </c>
      <c r="CZ33" t="e">
        <f t="shared" si="53"/>
        <v>#REF!</v>
      </c>
      <c r="DC33" t="s">
        <v>6</v>
      </c>
      <c r="DD33" t="s">
        <v>6</v>
      </c>
      <c r="DE33" t="s">
        <v>6</v>
      </c>
      <c r="DF33" t="s">
        <v>6</v>
      </c>
      <c r="DG33" t="s">
        <v>6</v>
      </c>
      <c r="DH33" t="s">
        <v>6</v>
      </c>
      <c r="DI33" t="s">
        <v>6</v>
      </c>
      <c r="DJ33" t="s">
        <v>6</v>
      </c>
      <c r="DK33" t="s">
        <v>6</v>
      </c>
      <c r="DL33" t="s">
        <v>6</v>
      </c>
      <c r="DM33" t="s">
        <v>6</v>
      </c>
      <c r="DN33">
        <v>0</v>
      </c>
      <c r="DO33">
        <v>0</v>
      </c>
      <c r="DP33">
        <v>1</v>
      </c>
      <c r="DQ33">
        <v>1</v>
      </c>
      <c r="DU33">
        <v>35960524</v>
      </c>
      <c r="DV33" t="s">
        <v>84</v>
      </c>
      <c r="DW33" t="str">
        <f>'1.Лок.смета.и.Акт'!D25</f>
        <v>канал.км</v>
      </c>
      <c r="DX33">
        <v>1</v>
      </c>
      <c r="DZ33" t="s">
        <v>6</v>
      </c>
      <c r="EA33" t="s">
        <v>6</v>
      </c>
      <c r="EB33" t="s">
        <v>6</v>
      </c>
      <c r="EC33" t="s">
        <v>6</v>
      </c>
      <c r="EE33">
        <v>59670393</v>
      </c>
      <c r="EF33">
        <v>2</v>
      </c>
      <c r="EG33" t="s">
        <v>21</v>
      </c>
      <c r="EH33">
        <v>28</v>
      </c>
      <c r="EI33" t="s">
        <v>86</v>
      </c>
      <c r="EJ33">
        <v>1</v>
      </c>
      <c r="EK33">
        <v>34001</v>
      </c>
      <c r="EL33" t="s">
        <v>87</v>
      </c>
      <c r="EM33" t="s">
        <v>88</v>
      </c>
      <c r="EO33" t="s">
        <v>6</v>
      </c>
      <c r="EQ33">
        <v>0</v>
      </c>
      <c r="ER33" t="e">
        <f>ES33+ET33+EV33</f>
        <v>#REF!</v>
      </c>
      <c r="ES33" s="23" t="e">
        <f>'1.Лок.смета.и.Акт'!#REF!</f>
        <v>#REF!</v>
      </c>
      <c r="ET33">
        <v>0</v>
      </c>
      <c r="EU33">
        <v>0</v>
      </c>
      <c r="EV33" s="23" t="e">
        <f>'1.Лок.смета.и.Акт'!#REF!</f>
        <v>#REF!</v>
      </c>
      <c r="EW33" t="e">
        <f>'1.Лок.смета.и.Акт'!#REF!</f>
        <v>#REF!</v>
      </c>
      <c r="EX33">
        <v>0</v>
      </c>
      <c r="EY33">
        <v>0</v>
      </c>
      <c r="FQ33">
        <v>0</v>
      </c>
      <c r="FR33">
        <f t="shared" si="39"/>
        <v>0</v>
      </c>
      <c r="FS33">
        <v>0</v>
      </c>
      <c r="FX33">
        <v>98</v>
      </c>
      <c r="FY33">
        <v>58</v>
      </c>
      <c r="GA33" t="s">
        <v>6</v>
      </c>
      <c r="GD33">
        <v>1</v>
      </c>
      <c r="GF33">
        <v>-751588334</v>
      </c>
      <c r="GG33">
        <v>2</v>
      </c>
      <c r="GH33">
        <v>1</v>
      </c>
      <c r="GI33">
        <v>4</v>
      </c>
      <c r="GJ33">
        <v>0</v>
      </c>
      <c r="GK33">
        <v>0</v>
      </c>
      <c r="GL33">
        <f t="shared" si="40"/>
        <v>0</v>
      </c>
      <c r="GM33" t="e">
        <f t="shared" si="41"/>
        <v>#REF!</v>
      </c>
      <c r="GN33" t="e">
        <f t="shared" si="42"/>
        <v>#REF!</v>
      </c>
      <c r="GO33">
        <f t="shared" si="43"/>
        <v>0</v>
      </c>
      <c r="GP33">
        <f t="shared" si="44"/>
        <v>0</v>
      </c>
      <c r="GR33">
        <v>0</v>
      </c>
      <c r="GS33">
        <v>3</v>
      </c>
      <c r="GT33">
        <v>0</v>
      </c>
      <c r="GU33" t="s">
        <v>6</v>
      </c>
      <c r="GV33">
        <f t="shared" si="45"/>
        <v>0</v>
      </c>
      <c r="GW33">
        <v>1</v>
      </c>
      <c r="GX33">
        <f t="shared" si="46"/>
        <v>0</v>
      </c>
      <c r="HA33">
        <v>0</v>
      </c>
      <c r="HB33">
        <v>0</v>
      </c>
      <c r="HC33">
        <f t="shared" si="47"/>
        <v>0</v>
      </c>
      <c r="HE33" t="s">
        <v>6</v>
      </c>
      <c r="HF33" t="s">
        <v>6</v>
      </c>
      <c r="HM33" t="s">
        <v>6</v>
      </c>
      <c r="HN33" t="s">
        <v>89</v>
      </c>
      <c r="HO33" t="s">
        <v>90</v>
      </c>
      <c r="HP33" t="s">
        <v>91</v>
      </c>
      <c r="HQ33" t="s">
        <v>91</v>
      </c>
      <c r="IF33">
        <v>-1</v>
      </c>
      <c r="IK33">
        <v>0</v>
      </c>
      <c r="IL33" t="s">
        <v>364</v>
      </c>
      <c r="IM33">
        <v>0.2</v>
      </c>
    </row>
    <row r="34" spans="1:247" x14ac:dyDescent="0.2">
      <c r="A34">
        <v>18</v>
      </c>
      <c r="B34">
        <v>1</v>
      </c>
      <c r="C34">
        <v>24</v>
      </c>
      <c r="E34" t="s">
        <v>92</v>
      </c>
      <c r="F34" t="e">
        <f>'1.Лок.смета.и.Акт'!#REF!</f>
        <v>#REF!</v>
      </c>
      <c r="G34" t="s">
        <v>94</v>
      </c>
      <c r="H34" t="s">
        <v>95</v>
      </c>
      <c r="I34">
        <f>I33*J34</f>
        <v>-276</v>
      </c>
      <c r="J34">
        <v>-1000</v>
      </c>
      <c r="K34">
        <v>-1000</v>
      </c>
      <c r="O34" t="e">
        <f t="shared" si="14"/>
        <v>#REF!</v>
      </c>
      <c r="P34" t="e">
        <f t="shared" si="15"/>
        <v>#REF!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70471737</v>
      </c>
      <c r="AB34" t="e">
        <f t="shared" si="25"/>
        <v>#REF!</v>
      </c>
      <c r="AC34" t="e">
        <f t="shared" si="26"/>
        <v>#REF!</v>
      </c>
      <c r="AD34">
        <f t="shared" si="27"/>
        <v>0</v>
      </c>
      <c r="AE34">
        <f t="shared" si="48"/>
        <v>0</v>
      </c>
      <c r="AF34">
        <f t="shared" si="50"/>
        <v>0</v>
      </c>
      <c r="AG34">
        <f t="shared" si="28"/>
        <v>0</v>
      </c>
      <c r="AH34">
        <f t="shared" si="51"/>
        <v>0</v>
      </c>
      <c r="AI34">
        <f t="shared" si="49"/>
        <v>0</v>
      </c>
      <c r="AJ34">
        <f t="shared" si="29"/>
        <v>0</v>
      </c>
      <c r="AK34">
        <v>63</v>
      </c>
      <c r="AL34" s="23" t="e">
        <f>'1.Лок.смета.и.Акт'!#REF!</f>
        <v>#REF!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 t="e">
        <f>'1.Лок.смета.и.Акт'!#REF!</f>
        <v>#REF!</v>
      </c>
      <c r="BD34" t="s">
        <v>6</v>
      </c>
      <c r="BE34" t="s">
        <v>6</v>
      </c>
      <c r="BF34" t="s">
        <v>6</v>
      </c>
      <c r="BG34" t="s">
        <v>6</v>
      </c>
      <c r="BH34">
        <v>3</v>
      </c>
      <c r="BI34">
        <v>1</v>
      </c>
      <c r="BJ34" t="s">
        <v>96</v>
      </c>
      <c r="BM34">
        <v>500001</v>
      </c>
      <c r="BN34">
        <v>0</v>
      </c>
      <c r="BO34" t="s">
        <v>6</v>
      </c>
      <c r="BP34">
        <v>0</v>
      </c>
      <c r="BQ34">
        <v>8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6</v>
      </c>
      <c r="BZ34">
        <v>0</v>
      </c>
      <c r="CA34">
        <v>0</v>
      </c>
      <c r="CB34" t="s">
        <v>6</v>
      </c>
      <c r="CE34">
        <v>0</v>
      </c>
      <c r="CF34">
        <v>0</v>
      </c>
      <c r="CG34">
        <v>0</v>
      </c>
      <c r="CM34">
        <v>0</v>
      </c>
      <c r="CN34" t="s">
        <v>6</v>
      </c>
      <c r="CO34">
        <v>0</v>
      </c>
      <c r="CP34" t="e">
        <f t="shared" si="30"/>
        <v>#REF!</v>
      </c>
      <c r="CQ34" t="e">
        <f t="shared" si="54"/>
        <v>#REF!</v>
      </c>
      <c r="CR34">
        <f t="shared" si="55"/>
        <v>0</v>
      </c>
      <c r="CS34">
        <f t="shared" si="33"/>
        <v>0</v>
      </c>
      <c r="CT34">
        <f t="shared" si="34"/>
        <v>0</v>
      </c>
      <c r="CU34">
        <f t="shared" si="35"/>
        <v>0</v>
      </c>
      <c r="CV34">
        <f t="shared" si="36"/>
        <v>0</v>
      </c>
      <c r="CW34">
        <f t="shared" si="37"/>
        <v>0</v>
      </c>
      <c r="CX34">
        <f t="shared" si="38"/>
        <v>0</v>
      </c>
      <c r="CY34">
        <f>0</f>
        <v>0</v>
      </c>
      <c r="CZ34">
        <f>0</f>
        <v>0</v>
      </c>
      <c r="DC34" t="s">
        <v>6</v>
      </c>
      <c r="DD34" t="s">
        <v>6</v>
      </c>
      <c r="DE34" t="s">
        <v>6</v>
      </c>
      <c r="DF34" t="s">
        <v>6</v>
      </c>
      <c r="DG34" t="s">
        <v>6</v>
      </c>
      <c r="DH34" t="s">
        <v>6</v>
      </c>
      <c r="DI34" t="s">
        <v>6</v>
      </c>
      <c r="DJ34" t="s">
        <v>6</v>
      </c>
      <c r="DK34" t="s">
        <v>6</v>
      </c>
      <c r="DL34" t="s">
        <v>6</v>
      </c>
      <c r="DM34" t="s">
        <v>6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95</v>
      </c>
      <c r="DW34" t="e">
        <f>'1.Лок.смета.и.Акт'!#REF!</f>
        <v>#REF!</v>
      </c>
      <c r="DX34">
        <v>1</v>
      </c>
      <c r="DZ34" t="s">
        <v>6</v>
      </c>
      <c r="EA34" t="s">
        <v>6</v>
      </c>
      <c r="EB34" t="s">
        <v>6</v>
      </c>
      <c r="EC34" t="s">
        <v>6</v>
      </c>
      <c r="EE34">
        <v>59670228</v>
      </c>
      <c r="EF34">
        <v>8</v>
      </c>
      <c r="EG34" t="s">
        <v>47</v>
      </c>
      <c r="EH34">
        <v>0</v>
      </c>
      <c r="EI34" t="s">
        <v>6</v>
      </c>
      <c r="EJ34">
        <v>1</v>
      </c>
      <c r="EK34">
        <v>500001</v>
      </c>
      <c r="EL34" t="s">
        <v>48</v>
      </c>
      <c r="EM34" t="s">
        <v>49</v>
      </c>
      <c r="EO34" t="s">
        <v>6</v>
      </c>
      <c r="EQ34">
        <v>0</v>
      </c>
      <c r="ER34">
        <v>63</v>
      </c>
      <c r="ES34" s="23" t="e">
        <f>'1.Лок.смета.и.Акт'!#REF!</f>
        <v>#REF!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f t="shared" si="39"/>
        <v>0</v>
      </c>
      <c r="FS34">
        <v>0</v>
      </c>
      <c r="FX34">
        <v>0</v>
      </c>
      <c r="FY34">
        <v>0</v>
      </c>
      <c r="GA34" t="s">
        <v>6</v>
      </c>
      <c r="GD34">
        <v>1</v>
      </c>
      <c r="GF34">
        <v>-2098109197</v>
      </c>
      <c r="GG34">
        <v>2</v>
      </c>
      <c r="GH34">
        <v>1</v>
      </c>
      <c r="GI34">
        <v>4</v>
      </c>
      <c r="GJ34">
        <v>0</v>
      </c>
      <c r="GK34">
        <v>0</v>
      </c>
      <c r="GL34">
        <f t="shared" si="40"/>
        <v>0</v>
      </c>
      <c r="GM34" t="e">
        <f t="shared" si="41"/>
        <v>#REF!</v>
      </c>
      <c r="GN34" t="e">
        <f t="shared" si="42"/>
        <v>#REF!</v>
      </c>
      <c r="GO34">
        <f t="shared" si="43"/>
        <v>0</v>
      </c>
      <c r="GP34">
        <f t="shared" si="44"/>
        <v>0</v>
      </c>
      <c r="GR34">
        <v>0</v>
      </c>
      <c r="GS34">
        <v>3</v>
      </c>
      <c r="GT34">
        <v>0</v>
      </c>
      <c r="GU34" t="s">
        <v>6</v>
      </c>
      <c r="GV34">
        <f t="shared" si="45"/>
        <v>0</v>
      </c>
      <c r="GW34">
        <v>1</v>
      </c>
      <c r="GX34">
        <f t="shared" si="46"/>
        <v>0</v>
      </c>
      <c r="HA34">
        <v>0</v>
      </c>
      <c r="HB34">
        <v>0</v>
      </c>
      <c r="HC34">
        <f t="shared" si="47"/>
        <v>0</v>
      </c>
      <c r="HE34" t="s">
        <v>6</v>
      </c>
      <c r="HF34" t="s">
        <v>6</v>
      </c>
      <c r="HM34" t="s">
        <v>6</v>
      </c>
      <c r="HN34" t="s">
        <v>6</v>
      </c>
      <c r="HO34" t="s">
        <v>6</v>
      </c>
      <c r="HP34" t="s">
        <v>6</v>
      </c>
      <c r="HQ34" t="s">
        <v>6</v>
      </c>
      <c r="IF34">
        <v>-1</v>
      </c>
      <c r="IK34">
        <v>0</v>
      </c>
    </row>
    <row r="35" spans="1:247" x14ac:dyDescent="0.2">
      <c r="A35">
        <v>18</v>
      </c>
      <c r="B35">
        <v>1</v>
      </c>
      <c r="C35">
        <v>25</v>
      </c>
      <c r="E35" t="s">
        <v>97</v>
      </c>
      <c r="F35" t="e">
        <f>'1.Лок.смета.и.Акт'!#REF!</f>
        <v>#REF!</v>
      </c>
      <c r="G35" t="s">
        <v>99</v>
      </c>
      <c r="H35" t="s">
        <v>95</v>
      </c>
      <c r="I35">
        <f>I33*J35</f>
        <v>276</v>
      </c>
      <c r="J35" s="60">
        <f>'5.Ведомость_списания'!F42</f>
        <v>1000</v>
      </c>
      <c r="K35">
        <v>1000</v>
      </c>
      <c r="O35" t="e">
        <f t="shared" si="14"/>
        <v>#REF!</v>
      </c>
      <c r="P35" t="e">
        <f t="shared" si="15"/>
        <v>#REF!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</v>
      </c>
      <c r="X35">
        <f t="shared" si="23"/>
        <v>0</v>
      </c>
      <c r="Y35">
        <f t="shared" si="24"/>
        <v>0</v>
      </c>
      <c r="AA35">
        <v>70471737</v>
      </c>
      <c r="AB35" t="e">
        <f t="shared" si="25"/>
        <v>#REF!</v>
      </c>
      <c r="AC35" t="e">
        <f t="shared" si="26"/>
        <v>#REF!</v>
      </c>
      <c r="AD35">
        <f t="shared" si="27"/>
        <v>0</v>
      </c>
      <c r="AE35">
        <f t="shared" si="48"/>
        <v>0</v>
      </c>
      <c r="AF35">
        <f t="shared" si="50"/>
        <v>0</v>
      </c>
      <c r="AG35">
        <f t="shared" si="28"/>
        <v>0</v>
      </c>
      <c r="AH35">
        <f t="shared" si="51"/>
        <v>0</v>
      </c>
      <c r="AI35">
        <f t="shared" si="49"/>
        <v>0</v>
      </c>
      <c r="AJ35">
        <f t="shared" si="29"/>
        <v>0</v>
      </c>
      <c r="AK35">
        <v>131.69999999999999</v>
      </c>
      <c r="AL35" s="23" t="e">
        <f>'1.Лок.смета.и.Акт'!#REF!</f>
        <v>#REF!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 t="e">
        <f>'1.Лок.смета.и.Акт'!#REF!</f>
        <v>#REF!</v>
      </c>
      <c r="BD35" t="s">
        <v>6</v>
      </c>
      <c r="BE35" t="s">
        <v>6</v>
      </c>
      <c r="BF35" t="s">
        <v>6</v>
      </c>
      <c r="BG35" t="s">
        <v>6</v>
      </c>
      <c r="BH35">
        <v>3</v>
      </c>
      <c r="BI35">
        <v>1</v>
      </c>
      <c r="BJ35" t="s">
        <v>100</v>
      </c>
      <c r="BM35">
        <v>500001</v>
      </c>
      <c r="BN35">
        <v>0</v>
      </c>
      <c r="BO35" t="s">
        <v>6</v>
      </c>
      <c r="BP35">
        <v>0</v>
      </c>
      <c r="BQ35">
        <v>8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6</v>
      </c>
      <c r="BZ35">
        <v>0</v>
      </c>
      <c r="CA35">
        <v>0</v>
      </c>
      <c r="CB35" t="s">
        <v>6</v>
      </c>
      <c r="CE35">
        <v>0</v>
      </c>
      <c r="CF35">
        <v>0</v>
      </c>
      <c r="CG35">
        <v>0</v>
      </c>
      <c r="CM35">
        <v>0</v>
      </c>
      <c r="CN35" t="s">
        <v>6</v>
      </c>
      <c r="CO35">
        <v>0</v>
      </c>
      <c r="CP35" t="e">
        <f t="shared" si="30"/>
        <v>#REF!</v>
      </c>
      <c r="CQ35" t="e">
        <f t="shared" si="54"/>
        <v>#REF!</v>
      </c>
      <c r="CR35">
        <f t="shared" si="55"/>
        <v>0</v>
      </c>
      <c r="CS35">
        <f t="shared" si="33"/>
        <v>0</v>
      </c>
      <c r="CT35">
        <f t="shared" si="34"/>
        <v>0</v>
      </c>
      <c r="CU35">
        <f t="shared" si="35"/>
        <v>0</v>
      </c>
      <c r="CV35">
        <f t="shared" si="36"/>
        <v>0</v>
      </c>
      <c r="CW35">
        <f t="shared" si="37"/>
        <v>0</v>
      </c>
      <c r="CX35">
        <f t="shared" si="38"/>
        <v>0</v>
      </c>
      <c r="CY35">
        <f>0</f>
        <v>0</v>
      </c>
      <c r="CZ35">
        <f>0</f>
        <v>0</v>
      </c>
      <c r="DC35" t="s">
        <v>6</v>
      </c>
      <c r="DD35" t="s">
        <v>6</v>
      </c>
      <c r="DE35" t="s">
        <v>6</v>
      </c>
      <c r="DF35" t="s">
        <v>6</v>
      </c>
      <c r="DG35" t="s">
        <v>6</v>
      </c>
      <c r="DH35" t="s">
        <v>6</v>
      </c>
      <c r="DI35" t="s">
        <v>6</v>
      </c>
      <c r="DJ35" t="s">
        <v>6</v>
      </c>
      <c r="DK35" t="s">
        <v>6</v>
      </c>
      <c r="DL35" t="s">
        <v>6</v>
      </c>
      <c r="DM35" t="s">
        <v>6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95</v>
      </c>
      <c r="DW35" t="e">
        <f>'1.Лок.смета.и.Акт'!#REF!</f>
        <v>#REF!</v>
      </c>
      <c r="DX35">
        <v>1</v>
      </c>
      <c r="DZ35" t="s">
        <v>6</v>
      </c>
      <c r="EA35" t="s">
        <v>6</v>
      </c>
      <c r="EB35" t="s">
        <v>6</v>
      </c>
      <c r="EC35" t="s">
        <v>6</v>
      </c>
      <c r="EE35">
        <v>59670228</v>
      </c>
      <c r="EF35">
        <v>8</v>
      </c>
      <c r="EG35" t="s">
        <v>47</v>
      </c>
      <c r="EH35">
        <v>0</v>
      </c>
      <c r="EI35" t="s">
        <v>6</v>
      </c>
      <c r="EJ35">
        <v>1</v>
      </c>
      <c r="EK35">
        <v>500001</v>
      </c>
      <c r="EL35" t="s">
        <v>48</v>
      </c>
      <c r="EM35" t="s">
        <v>49</v>
      </c>
      <c r="EO35" t="s">
        <v>6</v>
      </c>
      <c r="EQ35">
        <v>0</v>
      </c>
      <c r="ER35">
        <v>131.69999999999999</v>
      </c>
      <c r="ES35" s="23" t="e">
        <f>'1.Лок.смета.и.Акт'!#REF!</f>
        <v>#REF!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39"/>
        <v>0</v>
      </c>
      <c r="FS35">
        <v>0</v>
      </c>
      <c r="FX35">
        <v>0</v>
      </c>
      <c r="FY35">
        <v>0</v>
      </c>
      <c r="GA35" t="s">
        <v>6</v>
      </c>
      <c r="GD35">
        <v>1</v>
      </c>
      <c r="GF35">
        <v>443988570</v>
      </c>
      <c r="GG35">
        <v>2</v>
      </c>
      <c r="GH35">
        <v>1</v>
      </c>
      <c r="GI35">
        <v>4</v>
      </c>
      <c r="GJ35">
        <v>0</v>
      </c>
      <c r="GK35">
        <v>0</v>
      </c>
      <c r="GL35">
        <f t="shared" si="40"/>
        <v>0</v>
      </c>
      <c r="GM35" t="e">
        <f t="shared" si="41"/>
        <v>#REF!</v>
      </c>
      <c r="GN35" t="e">
        <f t="shared" si="42"/>
        <v>#REF!</v>
      </c>
      <c r="GO35">
        <f t="shared" si="43"/>
        <v>0</v>
      </c>
      <c r="GP35">
        <f t="shared" si="44"/>
        <v>0</v>
      </c>
      <c r="GR35">
        <v>0</v>
      </c>
      <c r="GS35">
        <v>0</v>
      </c>
      <c r="GT35">
        <v>0</v>
      </c>
      <c r="GU35" t="s">
        <v>6</v>
      </c>
      <c r="GV35">
        <f t="shared" si="45"/>
        <v>0</v>
      </c>
      <c r="GW35">
        <v>1</v>
      </c>
      <c r="GX35">
        <f t="shared" si="46"/>
        <v>0</v>
      </c>
      <c r="HA35">
        <v>0</v>
      </c>
      <c r="HB35">
        <v>0</v>
      </c>
      <c r="HC35">
        <f t="shared" si="47"/>
        <v>0</v>
      </c>
      <c r="HE35" t="s">
        <v>6</v>
      </c>
      <c r="HF35" t="s">
        <v>6</v>
      </c>
      <c r="HM35" t="s">
        <v>6</v>
      </c>
      <c r="HN35" t="s">
        <v>6</v>
      </c>
      <c r="HO35" t="s">
        <v>6</v>
      </c>
      <c r="HP35" t="s">
        <v>6</v>
      </c>
      <c r="HQ35" t="s">
        <v>6</v>
      </c>
      <c r="IF35">
        <v>-1</v>
      </c>
      <c r="IK35">
        <v>0</v>
      </c>
    </row>
    <row r="36" spans="1:247" x14ac:dyDescent="0.2">
      <c r="A36">
        <v>17</v>
      </c>
      <c r="B36">
        <v>1</v>
      </c>
      <c r="C36">
        <f>ROW(SmtRes!A35)</f>
        <v>35</v>
      </c>
      <c r="D36">
        <f>ROW(EtalonRes!A34)</f>
        <v>34</v>
      </c>
      <c r="E36" t="s">
        <v>101</v>
      </c>
      <c r="F36" t="s">
        <v>102</v>
      </c>
      <c r="G36" t="s">
        <v>103</v>
      </c>
      <c r="H36" t="s">
        <v>61</v>
      </c>
      <c r="I36">
        <f>'1.Лок.смета.и.Акт'!E26</f>
        <v>1.2</v>
      </c>
      <c r="J36">
        <v>0</v>
      </c>
      <c r="K36">
        <f>ROUND(100/1.02/100,7)</f>
        <v>0.98039220000000005</v>
      </c>
      <c r="O36" t="e">
        <f t="shared" si="14"/>
        <v>#REF!</v>
      </c>
      <c r="P36" t="e">
        <f t="shared" si="15"/>
        <v>#REF!</v>
      </c>
      <c r="Q36" t="e">
        <f t="shared" si="16"/>
        <v>#REF!</v>
      </c>
      <c r="R36" t="e">
        <f t="shared" si="17"/>
        <v>#REF!</v>
      </c>
      <c r="S36" t="e">
        <f t="shared" si="18"/>
        <v>#REF!</v>
      </c>
      <c r="T36">
        <f t="shared" si="19"/>
        <v>0</v>
      </c>
      <c r="U36" t="e">
        <f t="shared" si="20"/>
        <v>#REF!</v>
      </c>
      <c r="V36">
        <f t="shared" si="21"/>
        <v>0.48</v>
      </c>
      <c r="W36">
        <f t="shared" si="22"/>
        <v>0</v>
      </c>
      <c r="X36" t="e">
        <f t="shared" si="23"/>
        <v>#REF!</v>
      </c>
      <c r="Y36" t="e">
        <f t="shared" si="24"/>
        <v>#REF!</v>
      </c>
      <c r="AA36">
        <v>70471737</v>
      </c>
      <c r="AB36" t="e">
        <f t="shared" si="25"/>
        <v>#REF!</v>
      </c>
      <c r="AC36" t="e">
        <f t="shared" si="26"/>
        <v>#REF!</v>
      </c>
      <c r="AD36" t="e">
        <f t="shared" si="27"/>
        <v>#REF!</v>
      </c>
      <c r="AE36" t="e">
        <f t="shared" si="48"/>
        <v>#REF!</v>
      </c>
      <c r="AF36" t="e">
        <f t="shared" si="50"/>
        <v>#REF!</v>
      </c>
      <c r="AG36">
        <f t="shared" si="28"/>
        <v>0</v>
      </c>
      <c r="AH36" t="e">
        <f t="shared" si="51"/>
        <v>#REF!</v>
      </c>
      <c r="AI36">
        <f t="shared" si="49"/>
        <v>0.4</v>
      </c>
      <c r="AJ36">
        <f t="shared" si="29"/>
        <v>0</v>
      </c>
      <c r="AK36" t="e">
        <f>AL36+AM36+AO36</f>
        <v>#REF!</v>
      </c>
      <c r="AL36" s="23" t="e">
        <f>'1.Лок.смета.и.Акт'!#REF!</f>
        <v>#REF!</v>
      </c>
      <c r="AM36" s="23" t="e">
        <f>'1.Лок.смета.и.Акт'!#REF!</f>
        <v>#REF!</v>
      </c>
      <c r="AN36" s="23" t="e">
        <f>'1.Лок.смета.и.Акт'!#REF!</f>
        <v>#REF!</v>
      </c>
      <c r="AO36" s="23" t="e">
        <f>'1.Лок.смета.и.Акт'!#REF!</f>
        <v>#REF!</v>
      </c>
      <c r="AP36">
        <v>0</v>
      </c>
      <c r="AQ36" t="e">
        <f>'1.Лок.смета.и.Акт'!#REF!</f>
        <v>#REF!</v>
      </c>
      <c r="AR36">
        <v>0.4</v>
      </c>
      <c r="AS36">
        <v>0</v>
      </c>
      <c r="AT36">
        <v>97</v>
      </c>
      <c r="AU36">
        <v>51</v>
      </c>
      <c r="AV36">
        <v>1</v>
      </c>
      <c r="AW36">
        <v>1</v>
      </c>
      <c r="AZ36">
        <v>1</v>
      </c>
      <c r="BA36" t="e">
        <f>'1.Лок.смета.и.Акт'!#REF!</f>
        <v>#REF!</v>
      </c>
      <c r="BB36" t="e">
        <f>'1.Лок.смета.и.Акт'!#REF!</f>
        <v>#REF!</v>
      </c>
      <c r="BC36" t="e">
        <f>'1.Лок.смета.и.Акт'!#REF!</f>
        <v>#REF!</v>
      </c>
      <c r="BD36" t="s">
        <v>6</v>
      </c>
      <c r="BE36" t="s">
        <v>6</v>
      </c>
      <c r="BF36" t="s">
        <v>6</v>
      </c>
      <c r="BG36" t="s">
        <v>6</v>
      </c>
      <c r="BH36">
        <v>0</v>
      </c>
      <c r="BI36">
        <v>2</v>
      </c>
      <c r="BJ36" t="s">
        <v>104</v>
      </c>
      <c r="BM36">
        <v>108001</v>
      </c>
      <c r="BN36">
        <v>0</v>
      </c>
      <c r="BO36" t="s">
        <v>6</v>
      </c>
      <c r="BP36">
        <v>0</v>
      </c>
      <c r="BQ36">
        <v>3</v>
      </c>
      <c r="BR36">
        <v>0</v>
      </c>
      <c r="BS36" t="e">
        <f>'1.Лок.смета.и.Акт'!#REF!</f>
        <v>#REF!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6</v>
      </c>
      <c r="BZ36">
        <v>97</v>
      </c>
      <c r="CA36">
        <v>51</v>
      </c>
      <c r="CB36" t="s">
        <v>6</v>
      </c>
      <c r="CE36">
        <v>0</v>
      </c>
      <c r="CF36">
        <v>0</v>
      </c>
      <c r="CG36">
        <v>0</v>
      </c>
      <c r="CM36">
        <v>0</v>
      </c>
      <c r="CN36" t="s">
        <v>6</v>
      </c>
      <c r="CO36">
        <v>0</v>
      </c>
      <c r="CP36" t="e">
        <f t="shared" si="30"/>
        <v>#REF!</v>
      </c>
      <c r="CQ36" t="e">
        <f t="shared" si="54"/>
        <v>#REF!</v>
      </c>
      <c r="CR36" t="e">
        <f t="shared" si="55"/>
        <v>#REF!</v>
      </c>
      <c r="CS36" t="e">
        <f t="shared" si="33"/>
        <v>#REF!</v>
      </c>
      <c r="CT36" t="e">
        <f t="shared" si="34"/>
        <v>#REF!</v>
      </c>
      <c r="CU36">
        <f t="shared" si="35"/>
        <v>0</v>
      </c>
      <c r="CV36" t="e">
        <f t="shared" si="36"/>
        <v>#REF!</v>
      </c>
      <c r="CW36">
        <f t="shared" si="37"/>
        <v>0.4</v>
      </c>
      <c r="CX36">
        <f t="shared" si="38"/>
        <v>0</v>
      </c>
      <c r="CY36" t="e">
        <f>(((S36+R36)*AT36)/100)</f>
        <v>#REF!</v>
      </c>
      <c r="CZ36" t="e">
        <f>(((S36+R36)*AU36)/100)</f>
        <v>#REF!</v>
      </c>
      <c r="DC36" t="s">
        <v>6</v>
      </c>
      <c r="DD36" t="s">
        <v>6</v>
      </c>
      <c r="DE36" t="s">
        <v>6</v>
      </c>
      <c r="DF36" t="s">
        <v>6</v>
      </c>
      <c r="DG36" t="s">
        <v>6</v>
      </c>
      <c r="DH36" t="s">
        <v>6</v>
      </c>
      <c r="DI36" t="s">
        <v>6</v>
      </c>
      <c r="DJ36" t="s">
        <v>6</v>
      </c>
      <c r="DK36" t="s">
        <v>6</v>
      </c>
      <c r="DL36" t="s">
        <v>6</v>
      </c>
      <c r="DM36" t="s">
        <v>6</v>
      </c>
      <c r="DN36">
        <v>0</v>
      </c>
      <c r="DO36">
        <v>0</v>
      </c>
      <c r="DP36">
        <v>1</v>
      </c>
      <c r="DQ36">
        <v>1</v>
      </c>
      <c r="DU36">
        <v>1003</v>
      </c>
      <c r="DV36" t="s">
        <v>61</v>
      </c>
      <c r="DW36" t="str">
        <f>'1.Лок.смета.и.Акт'!D26</f>
        <v>100 м</v>
      </c>
      <c r="DX36">
        <v>100</v>
      </c>
      <c r="DZ36" t="s">
        <v>6</v>
      </c>
      <c r="EA36" t="s">
        <v>6</v>
      </c>
      <c r="EB36" t="s">
        <v>6</v>
      </c>
      <c r="EC36" t="s">
        <v>6</v>
      </c>
      <c r="EE36">
        <v>59670139</v>
      </c>
      <c r="EF36">
        <v>3</v>
      </c>
      <c r="EG36" t="s">
        <v>63</v>
      </c>
      <c r="EH36">
        <v>0</v>
      </c>
      <c r="EI36" t="s">
        <v>6</v>
      </c>
      <c r="EJ36">
        <v>2</v>
      </c>
      <c r="EK36">
        <v>108001</v>
      </c>
      <c r="EL36" t="s">
        <v>64</v>
      </c>
      <c r="EM36" t="s">
        <v>65</v>
      </c>
      <c r="EO36" t="s">
        <v>6</v>
      </c>
      <c r="EQ36">
        <v>0</v>
      </c>
      <c r="ER36" t="e">
        <f>ES36+ET36+EV36</f>
        <v>#REF!</v>
      </c>
      <c r="ES36" s="23" t="e">
        <f>'1.Лок.смета.и.Акт'!#REF!</f>
        <v>#REF!</v>
      </c>
      <c r="ET36" s="23" t="e">
        <f>'1.Лок.смета.и.Акт'!#REF!</f>
        <v>#REF!</v>
      </c>
      <c r="EU36" s="23" t="e">
        <f>'1.Лок.смета.и.Акт'!#REF!</f>
        <v>#REF!</v>
      </c>
      <c r="EV36" s="23" t="e">
        <f>'1.Лок.смета.и.Акт'!#REF!</f>
        <v>#REF!</v>
      </c>
      <c r="EW36" t="e">
        <f>'1.Лок.смета.и.Акт'!#REF!</f>
        <v>#REF!</v>
      </c>
      <c r="EX36">
        <v>0.4</v>
      </c>
      <c r="EY36">
        <v>0</v>
      </c>
      <c r="FQ36">
        <v>0</v>
      </c>
      <c r="FR36">
        <f t="shared" si="39"/>
        <v>0</v>
      </c>
      <c r="FS36">
        <v>0</v>
      </c>
      <c r="FX36">
        <v>97</v>
      </c>
      <c r="FY36">
        <v>51</v>
      </c>
      <c r="GA36" t="s">
        <v>6</v>
      </c>
      <c r="GD36">
        <v>1</v>
      </c>
      <c r="GF36">
        <v>1699710932</v>
      </c>
      <c r="GG36">
        <v>2</v>
      </c>
      <c r="GH36">
        <v>1</v>
      </c>
      <c r="GI36">
        <v>4</v>
      </c>
      <c r="GJ36">
        <v>0</v>
      </c>
      <c r="GK36">
        <v>0</v>
      </c>
      <c r="GL36">
        <f t="shared" si="40"/>
        <v>0</v>
      </c>
      <c r="GM36" t="e">
        <f t="shared" si="41"/>
        <v>#REF!</v>
      </c>
      <c r="GN36">
        <f t="shared" si="42"/>
        <v>0</v>
      </c>
      <c r="GO36" t="e">
        <f t="shared" si="43"/>
        <v>#REF!</v>
      </c>
      <c r="GP36">
        <f t="shared" si="44"/>
        <v>0</v>
      </c>
      <c r="GR36">
        <v>0</v>
      </c>
      <c r="GS36">
        <v>3</v>
      </c>
      <c r="GT36">
        <v>0</v>
      </c>
      <c r="GU36" t="s">
        <v>6</v>
      </c>
      <c r="GV36">
        <f t="shared" si="45"/>
        <v>0</v>
      </c>
      <c r="GW36">
        <v>1</v>
      </c>
      <c r="GX36">
        <f t="shared" si="46"/>
        <v>0</v>
      </c>
      <c r="HA36">
        <v>0</v>
      </c>
      <c r="HB36">
        <v>0</v>
      </c>
      <c r="HC36">
        <f t="shared" si="47"/>
        <v>0</v>
      </c>
      <c r="HE36" t="s">
        <v>6</v>
      </c>
      <c r="HF36" t="s">
        <v>6</v>
      </c>
      <c r="HM36" t="s">
        <v>6</v>
      </c>
      <c r="HN36" t="s">
        <v>66</v>
      </c>
      <c r="HO36" t="s">
        <v>67</v>
      </c>
      <c r="HP36" t="s">
        <v>64</v>
      </c>
      <c r="HQ36" t="s">
        <v>64</v>
      </c>
      <c r="IF36">
        <v>-1</v>
      </c>
      <c r="IK36">
        <v>0</v>
      </c>
      <c r="IL36" t="s">
        <v>365</v>
      </c>
      <c r="IM36">
        <v>0.98039220000000005</v>
      </c>
    </row>
    <row r="37" spans="1:247" x14ac:dyDescent="0.2">
      <c r="A37">
        <v>17</v>
      </c>
      <c r="B37">
        <v>1</v>
      </c>
      <c r="C37">
        <f>ROW(SmtRes!A45)</f>
        <v>45</v>
      </c>
      <c r="D37">
        <f>ROW(EtalonRes!A44)</f>
        <v>44</v>
      </c>
      <c r="E37" t="s">
        <v>105</v>
      </c>
      <c r="F37" t="s">
        <v>106</v>
      </c>
      <c r="G37" t="s">
        <v>107</v>
      </c>
      <c r="H37" t="s">
        <v>61</v>
      </c>
      <c r="I37">
        <f>'1.Лок.смета.и.Акт'!E27</f>
        <v>1.56</v>
      </c>
      <c r="J37">
        <v>0</v>
      </c>
      <c r="K37">
        <f>ROUND(100/1.02/100,7)</f>
        <v>0.98039220000000005</v>
      </c>
      <c r="O37" t="e">
        <f t="shared" si="14"/>
        <v>#REF!</v>
      </c>
      <c r="P37" t="e">
        <f t="shared" si="15"/>
        <v>#REF!</v>
      </c>
      <c r="Q37" t="e">
        <f t="shared" si="16"/>
        <v>#REF!</v>
      </c>
      <c r="R37" t="e">
        <f t="shared" si="17"/>
        <v>#REF!</v>
      </c>
      <c r="S37" t="e">
        <f t="shared" si="18"/>
        <v>#REF!</v>
      </c>
      <c r="T37">
        <f t="shared" si="19"/>
        <v>0</v>
      </c>
      <c r="U37" t="e">
        <f t="shared" si="20"/>
        <v>#REF!</v>
      </c>
      <c r="V37">
        <f t="shared" si="21"/>
        <v>0.624</v>
      </c>
      <c r="W37">
        <f t="shared" si="22"/>
        <v>0</v>
      </c>
      <c r="X37" t="e">
        <f t="shared" si="23"/>
        <v>#REF!</v>
      </c>
      <c r="Y37" t="e">
        <f t="shared" si="24"/>
        <v>#REF!</v>
      </c>
      <c r="AA37">
        <v>70471737</v>
      </c>
      <c r="AB37" t="e">
        <f t="shared" si="25"/>
        <v>#REF!</v>
      </c>
      <c r="AC37" t="e">
        <f t="shared" si="26"/>
        <v>#REF!</v>
      </c>
      <c r="AD37" t="e">
        <f t="shared" si="27"/>
        <v>#REF!</v>
      </c>
      <c r="AE37" t="e">
        <f t="shared" si="48"/>
        <v>#REF!</v>
      </c>
      <c r="AF37" t="e">
        <f t="shared" si="50"/>
        <v>#REF!</v>
      </c>
      <c r="AG37">
        <f t="shared" si="28"/>
        <v>0</v>
      </c>
      <c r="AH37" t="e">
        <f t="shared" si="51"/>
        <v>#REF!</v>
      </c>
      <c r="AI37">
        <f t="shared" si="49"/>
        <v>0.4</v>
      </c>
      <c r="AJ37">
        <f t="shared" si="29"/>
        <v>0</v>
      </c>
      <c r="AK37" t="e">
        <f>AL37+AM37+AO37</f>
        <v>#REF!</v>
      </c>
      <c r="AL37" s="23" t="e">
        <f>'1.Лок.смета.и.Акт'!#REF!</f>
        <v>#REF!</v>
      </c>
      <c r="AM37" s="23" t="e">
        <f>'1.Лок.смета.и.Акт'!#REF!</f>
        <v>#REF!</v>
      </c>
      <c r="AN37" s="23" t="e">
        <f>'1.Лок.смета.и.Акт'!#REF!</f>
        <v>#REF!</v>
      </c>
      <c r="AO37" s="23" t="e">
        <f>'1.Лок.смета.и.Акт'!#REF!</f>
        <v>#REF!</v>
      </c>
      <c r="AP37">
        <v>0</v>
      </c>
      <c r="AQ37" t="e">
        <f>'1.Лок.смета.и.Акт'!#REF!</f>
        <v>#REF!</v>
      </c>
      <c r="AR37">
        <v>0.4</v>
      </c>
      <c r="AS37">
        <v>0</v>
      </c>
      <c r="AT37">
        <v>97</v>
      </c>
      <c r="AU37">
        <v>51</v>
      </c>
      <c r="AV37">
        <v>1</v>
      </c>
      <c r="AW37">
        <v>1</v>
      </c>
      <c r="AZ37">
        <v>1</v>
      </c>
      <c r="BA37" t="e">
        <f>'1.Лок.смета.и.Акт'!#REF!</f>
        <v>#REF!</v>
      </c>
      <c r="BB37" t="e">
        <f>'1.Лок.смета.и.Акт'!#REF!</f>
        <v>#REF!</v>
      </c>
      <c r="BC37" t="e">
        <f>'1.Лок.смета.и.Акт'!#REF!</f>
        <v>#REF!</v>
      </c>
      <c r="BD37" t="s">
        <v>6</v>
      </c>
      <c r="BE37" t="s">
        <v>6</v>
      </c>
      <c r="BF37" t="s">
        <v>6</v>
      </c>
      <c r="BG37" t="s">
        <v>6</v>
      </c>
      <c r="BH37">
        <v>0</v>
      </c>
      <c r="BI37">
        <v>2</v>
      </c>
      <c r="BJ37" t="s">
        <v>108</v>
      </c>
      <c r="BM37">
        <v>108001</v>
      </c>
      <c r="BN37">
        <v>0</v>
      </c>
      <c r="BO37" t="s">
        <v>6</v>
      </c>
      <c r="BP37">
        <v>0</v>
      </c>
      <c r="BQ37">
        <v>3</v>
      </c>
      <c r="BR37">
        <v>0</v>
      </c>
      <c r="BS37" t="e">
        <f>'1.Лок.смета.и.Акт'!#REF!</f>
        <v>#REF!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6</v>
      </c>
      <c r="BZ37">
        <v>97</v>
      </c>
      <c r="CA37">
        <v>51</v>
      </c>
      <c r="CB37" t="s">
        <v>6</v>
      </c>
      <c r="CE37">
        <v>0</v>
      </c>
      <c r="CF37">
        <v>0</v>
      </c>
      <c r="CG37">
        <v>0</v>
      </c>
      <c r="CM37">
        <v>0</v>
      </c>
      <c r="CN37" t="s">
        <v>6</v>
      </c>
      <c r="CO37">
        <v>0</v>
      </c>
      <c r="CP37" t="e">
        <f t="shared" si="30"/>
        <v>#REF!</v>
      </c>
      <c r="CQ37" t="e">
        <f t="shared" si="54"/>
        <v>#REF!</v>
      </c>
      <c r="CR37" t="e">
        <f t="shared" si="55"/>
        <v>#REF!</v>
      </c>
      <c r="CS37" t="e">
        <f t="shared" si="33"/>
        <v>#REF!</v>
      </c>
      <c r="CT37" t="e">
        <f t="shared" si="34"/>
        <v>#REF!</v>
      </c>
      <c r="CU37">
        <f t="shared" si="35"/>
        <v>0</v>
      </c>
      <c r="CV37" t="e">
        <f t="shared" si="36"/>
        <v>#REF!</v>
      </c>
      <c r="CW37">
        <f t="shared" si="37"/>
        <v>0.4</v>
      </c>
      <c r="CX37">
        <f t="shared" si="38"/>
        <v>0</v>
      </c>
      <c r="CY37" t="e">
        <f>(((S37+R37)*AT37)/100)</f>
        <v>#REF!</v>
      </c>
      <c r="CZ37" t="e">
        <f>(((S37+R37)*AU37)/100)</f>
        <v>#REF!</v>
      </c>
      <c r="DC37" t="s">
        <v>6</v>
      </c>
      <c r="DD37" t="s">
        <v>6</v>
      </c>
      <c r="DE37" t="s">
        <v>6</v>
      </c>
      <c r="DF37" t="s">
        <v>6</v>
      </c>
      <c r="DG37" t="s">
        <v>6</v>
      </c>
      <c r="DH37" t="s">
        <v>6</v>
      </c>
      <c r="DI37" t="s">
        <v>6</v>
      </c>
      <c r="DJ37" t="s">
        <v>6</v>
      </c>
      <c r="DK37" t="s">
        <v>6</v>
      </c>
      <c r="DL37" t="s">
        <v>6</v>
      </c>
      <c r="DM37" t="s">
        <v>6</v>
      </c>
      <c r="DN37">
        <v>0</v>
      </c>
      <c r="DO37">
        <v>0</v>
      </c>
      <c r="DP37">
        <v>1</v>
      </c>
      <c r="DQ37">
        <v>1</v>
      </c>
      <c r="DU37">
        <v>1003</v>
      </c>
      <c r="DV37" t="s">
        <v>61</v>
      </c>
      <c r="DW37" t="str">
        <f>'1.Лок.смета.и.Акт'!D27</f>
        <v>100 м</v>
      </c>
      <c r="DX37">
        <v>100</v>
      </c>
      <c r="DZ37" t="s">
        <v>6</v>
      </c>
      <c r="EA37" t="s">
        <v>6</v>
      </c>
      <c r="EB37" t="s">
        <v>6</v>
      </c>
      <c r="EC37" t="s">
        <v>6</v>
      </c>
      <c r="EE37">
        <v>59670139</v>
      </c>
      <c r="EF37">
        <v>3</v>
      </c>
      <c r="EG37" t="s">
        <v>63</v>
      </c>
      <c r="EH37">
        <v>0</v>
      </c>
      <c r="EI37" t="s">
        <v>6</v>
      </c>
      <c r="EJ37">
        <v>2</v>
      </c>
      <c r="EK37">
        <v>108001</v>
      </c>
      <c r="EL37" t="s">
        <v>64</v>
      </c>
      <c r="EM37" t="s">
        <v>65</v>
      </c>
      <c r="EO37" t="s">
        <v>6</v>
      </c>
      <c r="EQ37">
        <v>0</v>
      </c>
      <c r="ER37" t="e">
        <f>ES37+ET37+EV37</f>
        <v>#REF!</v>
      </c>
      <c r="ES37" s="23" t="e">
        <f>'1.Лок.смета.и.Акт'!#REF!</f>
        <v>#REF!</v>
      </c>
      <c r="ET37" s="23" t="e">
        <f>'1.Лок.смета.и.Акт'!#REF!</f>
        <v>#REF!</v>
      </c>
      <c r="EU37" s="23" t="e">
        <f>'1.Лок.смета.и.Акт'!#REF!</f>
        <v>#REF!</v>
      </c>
      <c r="EV37" s="23" t="e">
        <f>'1.Лок.смета.и.Акт'!#REF!</f>
        <v>#REF!</v>
      </c>
      <c r="EW37" t="e">
        <f>'1.Лок.смета.и.Акт'!#REF!</f>
        <v>#REF!</v>
      </c>
      <c r="EX37">
        <v>0.4</v>
      </c>
      <c r="EY37">
        <v>0</v>
      </c>
      <c r="FQ37">
        <v>0</v>
      </c>
      <c r="FR37">
        <f t="shared" si="39"/>
        <v>0</v>
      </c>
      <c r="FS37">
        <v>0</v>
      </c>
      <c r="FX37">
        <v>97</v>
      </c>
      <c r="FY37">
        <v>51</v>
      </c>
      <c r="GA37" t="s">
        <v>6</v>
      </c>
      <c r="GD37">
        <v>1</v>
      </c>
      <c r="GF37">
        <v>1557298919</v>
      </c>
      <c r="GG37">
        <v>2</v>
      </c>
      <c r="GH37">
        <v>1</v>
      </c>
      <c r="GI37">
        <v>4</v>
      </c>
      <c r="GJ37">
        <v>0</v>
      </c>
      <c r="GK37">
        <v>0</v>
      </c>
      <c r="GL37">
        <f t="shared" si="40"/>
        <v>0</v>
      </c>
      <c r="GM37" t="e">
        <f t="shared" si="41"/>
        <v>#REF!</v>
      </c>
      <c r="GN37">
        <f t="shared" si="42"/>
        <v>0</v>
      </c>
      <c r="GO37" t="e">
        <f t="shared" si="43"/>
        <v>#REF!</v>
      </c>
      <c r="GP37">
        <f t="shared" si="44"/>
        <v>0</v>
      </c>
      <c r="GR37">
        <v>0</v>
      </c>
      <c r="GS37">
        <v>3</v>
      </c>
      <c r="GT37">
        <v>0</v>
      </c>
      <c r="GU37" t="s">
        <v>6</v>
      </c>
      <c r="GV37">
        <f t="shared" si="45"/>
        <v>0</v>
      </c>
      <c r="GW37">
        <v>1</v>
      </c>
      <c r="GX37">
        <f t="shared" si="46"/>
        <v>0</v>
      </c>
      <c r="HA37">
        <v>0</v>
      </c>
      <c r="HB37">
        <v>0</v>
      </c>
      <c r="HC37">
        <f t="shared" si="47"/>
        <v>0</v>
      </c>
      <c r="HE37" t="s">
        <v>6</v>
      </c>
      <c r="HF37" t="s">
        <v>6</v>
      </c>
      <c r="HM37" t="s">
        <v>6</v>
      </c>
      <c r="HN37" t="s">
        <v>66</v>
      </c>
      <c r="HO37" t="s">
        <v>67</v>
      </c>
      <c r="HP37" t="s">
        <v>64</v>
      </c>
      <c r="HQ37" t="s">
        <v>64</v>
      </c>
      <c r="IF37">
        <v>-1</v>
      </c>
      <c r="IK37">
        <v>0</v>
      </c>
      <c r="IL37" t="s">
        <v>365</v>
      </c>
      <c r="IM37">
        <v>0.98039220000000005</v>
      </c>
    </row>
    <row r="38" spans="1:247" x14ac:dyDescent="0.2">
      <c r="A38">
        <v>17</v>
      </c>
      <c r="B38">
        <v>1</v>
      </c>
      <c r="C38">
        <f>ROW(SmtRes!A57)</f>
        <v>57</v>
      </c>
      <c r="D38">
        <f>ROW(EtalonRes!A56)</f>
        <v>56</v>
      </c>
      <c r="E38" t="s">
        <v>109</v>
      </c>
      <c r="F38" t="s">
        <v>110</v>
      </c>
      <c r="G38" t="s">
        <v>111</v>
      </c>
      <c r="H38" t="s">
        <v>61</v>
      </c>
      <c r="I38">
        <f>'1.Лок.смета.и.Акт'!E28</f>
        <v>15.3</v>
      </c>
      <c r="J38">
        <v>0</v>
      </c>
      <c r="K38">
        <f>ROUND(1595/1.02/100,7)</f>
        <v>15.6372549</v>
      </c>
      <c r="O38" t="e">
        <f t="shared" si="14"/>
        <v>#REF!</v>
      </c>
      <c r="P38" t="e">
        <f t="shared" si="15"/>
        <v>#REF!</v>
      </c>
      <c r="Q38" t="e">
        <f t="shared" si="16"/>
        <v>#REF!</v>
      </c>
      <c r="R38" t="e">
        <f t="shared" si="17"/>
        <v>#REF!</v>
      </c>
      <c r="S38" t="e">
        <f t="shared" si="18"/>
        <v>#REF!</v>
      </c>
      <c r="T38">
        <f t="shared" si="19"/>
        <v>0</v>
      </c>
      <c r="U38" t="e">
        <f t="shared" si="20"/>
        <v>#REF!</v>
      </c>
      <c r="V38">
        <f t="shared" si="21"/>
        <v>40.392000000000003</v>
      </c>
      <c r="W38">
        <f t="shared" si="22"/>
        <v>0</v>
      </c>
      <c r="X38" t="e">
        <f t="shared" si="23"/>
        <v>#REF!</v>
      </c>
      <c r="Y38" t="e">
        <f t="shared" si="24"/>
        <v>#REF!</v>
      </c>
      <c r="AA38">
        <v>70471737</v>
      </c>
      <c r="AB38" t="e">
        <f t="shared" si="25"/>
        <v>#REF!</v>
      </c>
      <c r="AC38" t="e">
        <f t="shared" si="26"/>
        <v>#REF!</v>
      </c>
      <c r="AD38" t="e">
        <f t="shared" si="27"/>
        <v>#REF!</v>
      </c>
      <c r="AE38" t="e">
        <f t="shared" si="48"/>
        <v>#REF!</v>
      </c>
      <c r="AF38" t="e">
        <f t="shared" si="50"/>
        <v>#REF!</v>
      </c>
      <c r="AG38">
        <f t="shared" si="28"/>
        <v>0</v>
      </c>
      <c r="AH38" t="e">
        <f t="shared" si="51"/>
        <v>#REF!</v>
      </c>
      <c r="AI38">
        <f t="shared" si="49"/>
        <v>2.64</v>
      </c>
      <c r="AJ38">
        <f t="shared" si="29"/>
        <v>0</v>
      </c>
      <c r="AK38" t="e">
        <f>AL38+AM38+AO38</f>
        <v>#REF!</v>
      </c>
      <c r="AL38" s="23" t="e">
        <f>'1.Лок.смета.и.Акт'!#REF!</f>
        <v>#REF!</v>
      </c>
      <c r="AM38" s="23" t="e">
        <f>'1.Лок.смета.и.Акт'!#REF!</f>
        <v>#REF!</v>
      </c>
      <c r="AN38" s="23" t="e">
        <f>'1.Лок.смета.и.Акт'!#REF!</f>
        <v>#REF!</v>
      </c>
      <c r="AO38" s="23" t="e">
        <f>'1.Лок.смета.и.Акт'!#REF!</f>
        <v>#REF!</v>
      </c>
      <c r="AP38">
        <v>0</v>
      </c>
      <c r="AQ38" t="e">
        <f>'1.Лок.смета.и.Акт'!#REF!</f>
        <v>#REF!</v>
      </c>
      <c r="AR38">
        <v>2.64</v>
      </c>
      <c r="AS38">
        <v>0</v>
      </c>
      <c r="AT38">
        <v>97</v>
      </c>
      <c r="AU38">
        <v>51</v>
      </c>
      <c r="AV38">
        <v>1</v>
      </c>
      <c r="AW38">
        <v>1</v>
      </c>
      <c r="AZ38">
        <v>1</v>
      </c>
      <c r="BA38" t="e">
        <f>'1.Лок.смета.и.Акт'!#REF!</f>
        <v>#REF!</v>
      </c>
      <c r="BB38" t="e">
        <f>'1.Лок.смета.и.Акт'!#REF!</f>
        <v>#REF!</v>
      </c>
      <c r="BC38" t="e">
        <f>'1.Лок.смета.и.Акт'!#REF!</f>
        <v>#REF!</v>
      </c>
      <c r="BD38" t="s">
        <v>6</v>
      </c>
      <c r="BE38" t="s">
        <v>6</v>
      </c>
      <c r="BF38" t="s">
        <v>6</v>
      </c>
      <c r="BG38" t="s">
        <v>6</v>
      </c>
      <c r="BH38">
        <v>0</v>
      </c>
      <c r="BI38">
        <v>2</v>
      </c>
      <c r="BJ38" t="s">
        <v>112</v>
      </c>
      <c r="BM38">
        <v>108001</v>
      </c>
      <c r="BN38">
        <v>0</v>
      </c>
      <c r="BO38" t="s">
        <v>6</v>
      </c>
      <c r="BP38">
        <v>0</v>
      </c>
      <c r="BQ38">
        <v>3</v>
      </c>
      <c r="BR38">
        <v>0</v>
      </c>
      <c r="BS38" t="e">
        <f>'1.Лок.смета.и.Акт'!#REF!</f>
        <v>#REF!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6</v>
      </c>
      <c r="BZ38">
        <v>97</v>
      </c>
      <c r="CA38">
        <v>51</v>
      </c>
      <c r="CB38" t="s">
        <v>6</v>
      </c>
      <c r="CE38">
        <v>0</v>
      </c>
      <c r="CF38">
        <v>0</v>
      </c>
      <c r="CG38">
        <v>0</v>
      </c>
      <c r="CM38">
        <v>0</v>
      </c>
      <c r="CN38" t="s">
        <v>6</v>
      </c>
      <c r="CO38">
        <v>0</v>
      </c>
      <c r="CP38" t="e">
        <f t="shared" si="30"/>
        <v>#REF!</v>
      </c>
      <c r="CQ38" t="e">
        <f t="shared" si="54"/>
        <v>#REF!</v>
      </c>
      <c r="CR38" t="e">
        <f t="shared" si="55"/>
        <v>#REF!</v>
      </c>
      <c r="CS38" t="e">
        <f t="shared" si="33"/>
        <v>#REF!</v>
      </c>
      <c r="CT38" t="e">
        <f t="shared" si="34"/>
        <v>#REF!</v>
      </c>
      <c r="CU38">
        <f t="shared" si="35"/>
        <v>0</v>
      </c>
      <c r="CV38" t="e">
        <f t="shared" si="36"/>
        <v>#REF!</v>
      </c>
      <c r="CW38">
        <f t="shared" si="37"/>
        <v>2.64</v>
      </c>
      <c r="CX38">
        <f t="shared" si="38"/>
        <v>0</v>
      </c>
      <c r="CY38" t="e">
        <f>(((S38+R38)*AT38)/100)</f>
        <v>#REF!</v>
      </c>
      <c r="CZ38" t="e">
        <f>(((S38+R38)*AU38)/100)</f>
        <v>#REF!</v>
      </c>
      <c r="DC38" t="s">
        <v>6</v>
      </c>
      <c r="DD38" t="s">
        <v>6</v>
      </c>
      <c r="DE38" t="s">
        <v>6</v>
      </c>
      <c r="DF38" t="s">
        <v>6</v>
      </c>
      <c r="DG38" t="s">
        <v>6</v>
      </c>
      <c r="DH38" t="s">
        <v>6</v>
      </c>
      <c r="DI38" t="s">
        <v>6</v>
      </c>
      <c r="DJ38" t="s">
        <v>6</v>
      </c>
      <c r="DK38" t="s">
        <v>6</v>
      </c>
      <c r="DL38" t="s">
        <v>6</v>
      </c>
      <c r="DM38" t="s">
        <v>6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61</v>
      </c>
      <c r="DW38" t="str">
        <f>'1.Лок.смета.и.Акт'!D28</f>
        <v>100 м</v>
      </c>
      <c r="DX38">
        <v>100</v>
      </c>
      <c r="DZ38" t="s">
        <v>6</v>
      </c>
      <c r="EA38" t="s">
        <v>6</v>
      </c>
      <c r="EB38" t="s">
        <v>6</v>
      </c>
      <c r="EC38" t="s">
        <v>6</v>
      </c>
      <c r="EE38">
        <v>59670139</v>
      </c>
      <c r="EF38">
        <v>3</v>
      </c>
      <c r="EG38" t="s">
        <v>63</v>
      </c>
      <c r="EH38">
        <v>0</v>
      </c>
      <c r="EI38" t="s">
        <v>6</v>
      </c>
      <c r="EJ38">
        <v>2</v>
      </c>
      <c r="EK38">
        <v>108001</v>
      </c>
      <c r="EL38" t="s">
        <v>64</v>
      </c>
      <c r="EM38" t="s">
        <v>65</v>
      </c>
      <c r="EO38" t="s">
        <v>6</v>
      </c>
      <c r="EQ38">
        <v>0</v>
      </c>
      <c r="ER38" t="e">
        <f>ES38+ET38+EV38</f>
        <v>#REF!</v>
      </c>
      <c r="ES38" s="23" t="e">
        <f>'1.Лок.смета.и.Акт'!#REF!</f>
        <v>#REF!</v>
      </c>
      <c r="ET38" s="23" t="e">
        <f>'1.Лок.смета.и.Акт'!#REF!</f>
        <v>#REF!</v>
      </c>
      <c r="EU38" s="23" t="e">
        <f>'1.Лок.смета.и.Акт'!#REF!</f>
        <v>#REF!</v>
      </c>
      <c r="EV38" s="23" t="e">
        <f>'1.Лок.смета.и.Акт'!#REF!</f>
        <v>#REF!</v>
      </c>
      <c r="EW38" t="e">
        <f>'1.Лок.смета.и.Акт'!#REF!</f>
        <v>#REF!</v>
      </c>
      <c r="EX38">
        <v>2.64</v>
      </c>
      <c r="EY38">
        <v>0</v>
      </c>
      <c r="FQ38">
        <v>0</v>
      </c>
      <c r="FR38">
        <f t="shared" si="39"/>
        <v>0</v>
      </c>
      <c r="FS38">
        <v>0</v>
      </c>
      <c r="FX38">
        <v>97</v>
      </c>
      <c r="FY38">
        <v>51</v>
      </c>
      <c r="GA38" t="s">
        <v>6</v>
      </c>
      <c r="GD38">
        <v>1</v>
      </c>
      <c r="GF38">
        <v>832153026</v>
      </c>
      <c r="GG38">
        <v>2</v>
      </c>
      <c r="GH38">
        <v>1</v>
      </c>
      <c r="GI38">
        <v>4</v>
      </c>
      <c r="GJ38">
        <v>0</v>
      </c>
      <c r="GK38">
        <v>0</v>
      </c>
      <c r="GL38">
        <f t="shared" si="40"/>
        <v>0</v>
      </c>
      <c r="GM38" t="e">
        <f t="shared" si="41"/>
        <v>#REF!</v>
      </c>
      <c r="GN38">
        <f t="shared" si="42"/>
        <v>0</v>
      </c>
      <c r="GO38" t="e">
        <f t="shared" si="43"/>
        <v>#REF!</v>
      </c>
      <c r="GP38">
        <f t="shared" si="44"/>
        <v>0</v>
      </c>
      <c r="GR38">
        <v>0</v>
      </c>
      <c r="GS38">
        <v>0</v>
      </c>
      <c r="GT38">
        <v>0</v>
      </c>
      <c r="GU38" t="s">
        <v>6</v>
      </c>
      <c r="GV38">
        <f t="shared" si="45"/>
        <v>0</v>
      </c>
      <c r="GW38">
        <v>1</v>
      </c>
      <c r="GX38">
        <f t="shared" si="46"/>
        <v>0</v>
      </c>
      <c r="HA38">
        <v>0</v>
      </c>
      <c r="HB38">
        <v>0</v>
      </c>
      <c r="HC38">
        <f t="shared" si="47"/>
        <v>0</v>
      </c>
      <c r="HE38" t="s">
        <v>6</v>
      </c>
      <c r="HF38" t="s">
        <v>6</v>
      </c>
      <c r="HM38" t="s">
        <v>6</v>
      </c>
      <c r="HN38" t="s">
        <v>66</v>
      </c>
      <c r="HO38" t="s">
        <v>67</v>
      </c>
      <c r="HP38" t="s">
        <v>64</v>
      </c>
      <c r="HQ38" t="s">
        <v>64</v>
      </c>
      <c r="IF38">
        <v>-1</v>
      </c>
      <c r="IK38">
        <v>0</v>
      </c>
      <c r="IL38" t="s">
        <v>366</v>
      </c>
      <c r="IM38">
        <v>15.6372549</v>
      </c>
    </row>
    <row r="39" spans="1:247" x14ac:dyDescent="0.2">
      <c r="A39">
        <v>17</v>
      </c>
      <c r="B39">
        <v>1</v>
      </c>
      <c r="C39">
        <f>ROW(SmtRes!A69)</f>
        <v>69</v>
      </c>
      <c r="D39">
        <f>ROW(EtalonRes!A68)</f>
        <v>68</v>
      </c>
      <c r="E39" t="s">
        <v>113</v>
      </c>
      <c r="F39" t="s">
        <v>114</v>
      </c>
      <c r="G39" t="s">
        <v>115</v>
      </c>
      <c r="H39" t="s">
        <v>61</v>
      </c>
      <c r="I39">
        <f>'1.Лок.смета.и.Акт'!E29</f>
        <v>14.64</v>
      </c>
      <c r="J39">
        <v>0</v>
      </c>
      <c r="K39">
        <f>ROUND(605/1.02/100,7)</f>
        <v>5.9313725000000002</v>
      </c>
      <c r="O39" t="e">
        <f t="shared" si="14"/>
        <v>#REF!</v>
      </c>
      <c r="P39" t="e">
        <f t="shared" si="15"/>
        <v>#REF!</v>
      </c>
      <c r="Q39" t="e">
        <f t="shared" si="16"/>
        <v>#REF!</v>
      </c>
      <c r="R39" t="e">
        <f t="shared" si="17"/>
        <v>#REF!</v>
      </c>
      <c r="S39" t="e">
        <f t="shared" si="18"/>
        <v>#REF!</v>
      </c>
      <c r="T39">
        <f t="shared" si="19"/>
        <v>0</v>
      </c>
      <c r="U39" t="e">
        <f t="shared" si="20"/>
        <v>#REF!</v>
      </c>
      <c r="V39">
        <f t="shared" si="21"/>
        <v>56.803199999999997</v>
      </c>
      <c r="W39">
        <f t="shared" si="22"/>
        <v>0</v>
      </c>
      <c r="X39" t="e">
        <f t="shared" si="23"/>
        <v>#REF!</v>
      </c>
      <c r="Y39" t="e">
        <f t="shared" si="24"/>
        <v>#REF!</v>
      </c>
      <c r="AA39">
        <v>70471737</v>
      </c>
      <c r="AB39" t="e">
        <f t="shared" si="25"/>
        <v>#REF!</v>
      </c>
      <c r="AC39" t="e">
        <f t="shared" si="26"/>
        <v>#REF!</v>
      </c>
      <c r="AD39" t="e">
        <f t="shared" si="27"/>
        <v>#REF!</v>
      </c>
      <c r="AE39" t="e">
        <f t="shared" si="48"/>
        <v>#REF!</v>
      </c>
      <c r="AF39" t="e">
        <f t="shared" si="50"/>
        <v>#REF!</v>
      </c>
      <c r="AG39">
        <f t="shared" si="28"/>
        <v>0</v>
      </c>
      <c r="AH39" t="e">
        <f t="shared" si="51"/>
        <v>#REF!</v>
      </c>
      <c r="AI39">
        <f t="shared" si="49"/>
        <v>3.88</v>
      </c>
      <c r="AJ39">
        <f t="shared" si="29"/>
        <v>0</v>
      </c>
      <c r="AK39" t="e">
        <f>AL39+AM39+AO39</f>
        <v>#REF!</v>
      </c>
      <c r="AL39" s="23" t="e">
        <f>'1.Лок.смета.и.Акт'!#REF!</f>
        <v>#REF!</v>
      </c>
      <c r="AM39" s="23" t="e">
        <f>'1.Лок.смета.и.Акт'!#REF!</f>
        <v>#REF!</v>
      </c>
      <c r="AN39" s="23" t="e">
        <f>'1.Лок.смета.и.Акт'!#REF!</f>
        <v>#REF!</v>
      </c>
      <c r="AO39" s="23" t="e">
        <f>'1.Лок.смета.и.Акт'!#REF!</f>
        <v>#REF!</v>
      </c>
      <c r="AP39">
        <v>0</v>
      </c>
      <c r="AQ39" t="e">
        <f>'1.Лок.смета.и.Акт'!#REF!</f>
        <v>#REF!</v>
      </c>
      <c r="AR39">
        <v>3.88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 t="e">
        <f>'1.Лок.смета.и.Акт'!#REF!</f>
        <v>#REF!</v>
      </c>
      <c r="BB39" t="e">
        <f>'1.Лок.смета.и.Акт'!#REF!</f>
        <v>#REF!</v>
      </c>
      <c r="BC39" t="e">
        <f>'1.Лок.смета.и.Акт'!#REF!</f>
        <v>#REF!</v>
      </c>
      <c r="BD39" t="s">
        <v>6</v>
      </c>
      <c r="BE39" t="s">
        <v>6</v>
      </c>
      <c r="BF39" t="s">
        <v>6</v>
      </c>
      <c r="BG39" t="s">
        <v>6</v>
      </c>
      <c r="BH39">
        <v>0</v>
      </c>
      <c r="BI39">
        <v>2</v>
      </c>
      <c r="BJ39" t="s">
        <v>116</v>
      </c>
      <c r="BM39">
        <v>108001</v>
      </c>
      <c r="BN39">
        <v>0</v>
      </c>
      <c r="BO39" t="s">
        <v>6</v>
      </c>
      <c r="BP39">
        <v>0</v>
      </c>
      <c r="BQ39">
        <v>3</v>
      </c>
      <c r="BR39">
        <v>0</v>
      </c>
      <c r="BS39" t="e">
        <f>'1.Лок.смета.и.Акт'!#REF!</f>
        <v>#REF!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6</v>
      </c>
      <c r="BZ39">
        <v>97</v>
      </c>
      <c r="CA39">
        <v>51</v>
      </c>
      <c r="CB39" t="s">
        <v>6</v>
      </c>
      <c r="CE39">
        <v>0</v>
      </c>
      <c r="CF39">
        <v>0</v>
      </c>
      <c r="CG39">
        <v>0</v>
      </c>
      <c r="CM39">
        <v>0</v>
      </c>
      <c r="CN39" t="s">
        <v>6</v>
      </c>
      <c r="CO39">
        <v>0</v>
      </c>
      <c r="CP39" t="e">
        <f t="shared" si="30"/>
        <v>#REF!</v>
      </c>
      <c r="CQ39" t="e">
        <f t="shared" si="54"/>
        <v>#REF!</v>
      </c>
      <c r="CR39" t="e">
        <f t="shared" si="55"/>
        <v>#REF!</v>
      </c>
      <c r="CS39" t="e">
        <f t="shared" si="33"/>
        <v>#REF!</v>
      </c>
      <c r="CT39" t="e">
        <f t="shared" si="34"/>
        <v>#REF!</v>
      </c>
      <c r="CU39">
        <f t="shared" si="35"/>
        <v>0</v>
      </c>
      <c r="CV39" t="e">
        <f t="shared" si="36"/>
        <v>#REF!</v>
      </c>
      <c r="CW39">
        <f t="shared" si="37"/>
        <v>3.88</v>
      </c>
      <c r="CX39">
        <f t="shared" si="38"/>
        <v>0</v>
      </c>
      <c r="CY39" t="e">
        <f>(((S39+R39)*AT39)/100)</f>
        <v>#REF!</v>
      </c>
      <c r="CZ39" t="e">
        <f>(((S39+R39)*AU39)/100)</f>
        <v>#REF!</v>
      </c>
      <c r="DC39" t="s">
        <v>6</v>
      </c>
      <c r="DD39" t="s">
        <v>6</v>
      </c>
      <c r="DE39" t="s">
        <v>6</v>
      </c>
      <c r="DF39" t="s">
        <v>6</v>
      </c>
      <c r="DG39" t="s">
        <v>6</v>
      </c>
      <c r="DH39" t="s">
        <v>6</v>
      </c>
      <c r="DI39" t="s">
        <v>6</v>
      </c>
      <c r="DJ39" t="s">
        <v>6</v>
      </c>
      <c r="DK39" t="s">
        <v>6</v>
      </c>
      <c r="DL39" t="s">
        <v>6</v>
      </c>
      <c r="DM39" t="s">
        <v>6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61</v>
      </c>
      <c r="DW39" t="str">
        <f>'1.Лок.смета.и.Акт'!D29</f>
        <v>100 м</v>
      </c>
      <c r="DX39">
        <v>100</v>
      </c>
      <c r="DZ39" t="s">
        <v>6</v>
      </c>
      <c r="EA39" t="s">
        <v>6</v>
      </c>
      <c r="EB39" t="s">
        <v>6</v>
      </c>
      <c r="EC39" t="s">
        <v>6</v>
      </c>
      <c r="EE39">
        <v>59670139</v>
      </c>
      <c r="EF39">
        <v>3</v>
      </c>
      <c r="EG39" t="s">
        <v>63</v>
      </c>
      <c r="EH39">
        <v>0</v>
      </c>
      <c r="EI39" t="s">
        <v>6</v>
      </c>
      <c r="EJ39">
        <v>2</v>
      </c>
      <c r="EK39">
        <v>108001</v>
      </c>
      <c r="EL39" t="s">
        <v>64</v>
      </c>
      <c r="EM39" t="s">
        <v>65</v>
      </c>
      <c r="EO39" t="s">
        <v>6</v>
      </c>
      <c r="EQ39">
        <v>0</v>
      </c>
      <c r="ER39" t="e">
        <f>ES39+ET39+EV39</f>
        <v>#REF!</v>
      </c>
      <c r="ES39" s="23" t="e">
        <f>'1.Лок.смета.и.Акт'!#REF!</f>
        <v>#REF!</v>
      </c>
      <c r="ET39" s="23" t="e">
        <f>'1.Лок.смета.и.Акт'!#REF!</f>
        <v>#REF!</v>
      </c>
      <c r="EU39" s="23" t="e">
        <f>'1.Лок.смета.и.Акт'!#REF!</f>
        <v>#REF!</v>
      </c>
      <c r="EV39" s="23" t="e">
        <f>'1.Лок.смета.и.Акт'!#REF!</f>
        <v>#REF!</v>
      </c>
      <c r="EW39" t="e">
        <f>'1.Лок.смета.и.Акт'!#REF!</f>
        <v>#REF!</v>
      </c>
      <c r="EX39">
        <v>3.88</v>
      </c>
      <c r="EY39">
        <v>0</v>
      </c>
      <c r="FQ39">
        <v>0</v>
      </c>
      <c r="FR39">
        <f t="shared" si="39"/>
        <v>0</v>
      </c>
      <c r="FS39">
        <v>0</v>
      </c>
      <c r="FX39">
        <v>97</v>
      </c>
      <c r="FY39">
        <v>51</v>
      </c>
      <c r="GA39" t="s">
        <v>6</v>
      </c>
      <c r="GD39">
        <v>1</v>
      </c>
      <c r="GF39">
        <v>215820333</v>
      </c>
      <c r="GG39">
        <v>2</v>
      </c>
      <c r="GH39">
        <v>1</v>
      </c>
      <c r="GI39">
        <v>4</v>
      </c>
      <c r="GJ39">
        <v>0</v>
      </c>
      <c r="GK39">
        <v>0</v>
      </c>
      <c r="GL39">
        <f t="shared" si="40"/>
        <v>0</v>
      </c>
      <c r="GM39" t="e">
        <f t="shared" si="41"/>
        <v>#REF!</v>
      </c>
      <c r="GN39">
        <f t="shared" si="42"/>
        <v>0</v>
      </c>
      <c r="GO39" t="e">
        <f t="shared" si="43"/>
        <v>#REF!</v>
      </c>
      <c r="GP39">
        <f t="shared" si="44"/>
        <v>0</v>
      </c>
      <c r="GR39">
        <v>0</v>
      </c>
      <c r="GS39">
        <v>0</v>
      </c>
      <c r="GT39">
        <v>0</v>
      </c>
      <c r="GU39" t="s">
        <v>6</v>
      </c>
      <c r="GV39">
        <f t="shared" si="45"/>
        <v>0</v>
      </c>
      <c r="GW39">
        <v>1</v>
      </c>
      <c r="GX39">
        <f t="shared" si="46"/>
        <v>0</v>
      </c>
      <c r="HA39">
        <v>0</v>
      </c>
      <c r="HB39">
        <v>0</v>
      </c>
      <c r="HC39">
        <f t="shared" si="47"/>
        <v>0</v>
      </c>
      <c r="HE39" t="s">
        <v>6</v>
      </c>
      <c r="HF39" t="s">
        <v>6</v>
      </c>
      <c r="HM39" t="s">
        <v>6</v>
      </c>
      <c r="HN39" t="s">
        <v>66</v>
      </c>
      <c r="HO39" t="s">
        <v>67</v>
      </c>
      <c r="HP39" t="s">
        <v>64</v>
      </c>
      <c r="HQ39" t="s">
        <v>64</v>
      </c>
      <c r="IF39">
        <v>-1</v>
      </c>
      <c r="IK39">
        <v>0</v>
      </c>
      <c r="IL39" t="s">
        <v>367</v>
      </c>
      <c r="IM39">
        <v>5.9313725000000002</v>
      </c>
    </row>
    <row r="40" spans="1:247" x14ac:dyDescent="0.2">
      <c r="A40">
        <v>17</v>
      </c>
      <c r="B40">
        <v>1</v>
      </c>
      <c r="E40" t="s">
        <v>117</v>
      </c>
      <c r="F40" t="e">
        <f>'1.Лок.смета.и.Акт'!#REF!</f>
        <v>#REF!</v>
      </c>
      <c r="G40" t="s">
        <v>119</v>
      </c>
      <c r="H40" t="s">
        <v>120</v>
      </c>
      <c r="I40" t="e">
        <f>'1.Лок.смета.и.Акт'!#REF!</f>
        <v>#REF!</v>
      </c>
      <c r="J40">
        <v>0</v>
      </c>
      <c r="K40">
        <v>0.70499999999999996</v>
      </c>
      <c r="O40" t="e">
        <f t="shared" si="14"/>
        <v>#REF!</v>
      </c>
      <c r="P40" t="e">
        <f t="shared" si="15"/>
        <v>#REF!</v>
      </c>
      <c r="Q40" t="e">
        <f t="shared" si="16"/>
        <v>#REF!</v>
      </c>
      <c r="R40" t="e">
        <f t="shared" si="17"/>
        <v>#REF!</v>
      </c>
      <c r="S40" t="e">
        <f t="shared" si="18"/>
        <v>#REF!</v>
      </c>
      <c r="T40" t="e">
        <f t="shared" si="19"/>
        <v>#REF!</v>
      </c>
      <c r="U40" t="e">
        <f t="shared" si="20"/>
        <v>#REF!</v>
      </c>
      <c r="V40" t="e">
        <f t="shared" si="21"/>
        <v>#REF!</v>
      </c>
      <c r="W40" t="e">
        <f t="shared" si="22"/>
        <v>#REF!</v>
      </c>
      <c r="X40">
        <f t="shared" si="23"/>
        <v>0</v>
      </c>
      <c r="Y40">
        <f t="shared" si="24"/>
        <v>0</v>
      </c>
      <c r="AA40">
        <v>70471737</v>
      </c>
      <c r="AB40" t="e">
        <f t="shared" si="25"/>
        <v>#REF!</v>
      </c>
      <c r="AC40" t="e">
        <f t="shared" si="26"/>
        <v>#REF!</v>
      </c>
      <c r="AD40">
        <f t="shared" si="27"/>
        <v>0</v>
      </c>
      <c r="AE40">
        <f t="shared" si="48"/>
        <v>0</v>
      </c>
      <c r="AF40">
        <f t="shared" si="50"/>
        <v>0</v>
      </c>
      <c r="AG40">
        <f t="shared" si="28"/>
        <v>0</v>
      </c>
      <c r="AH40">
        <f t="shared" si="51"/>
        <v>0</v>
      </c>
      <c r="AI40">
        <f t="shared" si="49"/>
        <v>0</v>
      </c>
      <c r="AJ40">
        <f t="shared" si="29"/>
        <v>0</v>
      </c>
      <c r="AK40">
        <v>332014.75</v>
      </c>
      <c r="AL40" s="23" t="e">
        <f>'1.Лок.смета.и.Акт'!#REF!</f>
        <v>#REF!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 t="e">
        <f>'1.Лок.смета.и.Акт'!#REF!</f>
        <v>#REF!</v>
      </c>
      <c r="BD40" t="s">
        <v>6</v>
      </c>
      <c r="BE40" t="s">
        <v>6</v>
      </c>
      <c r="BF40" t="s">
        <v>6</v>
      </c>
      <c r="BG40" t="s">
        <v>6</v>
      </c>
      <c r="BH40">
        <v>3</v>
      </c>
      <c r="BI40">
        <v>2</v>
      </c>
      <c r="BJ40" t="s">
        <v>121</v>
      </c>
      <c r="BM40">
        <v>500002</v>
      </c>
      <c r="BN40">
        <v>0</v>
      </c>
      <c r="BO40" t="s">
        <v>6</v>
      </c>
      <c r="BP40">
        <v>0</v>
      </c>
      <c r="BQ40">
        <v>12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6</v>
      </c>
      <c r="BZ40">
        <v>0</v>
      </c>
      <c r="CA40">
        <v>0</v>
      </c>
      <c r="CB40" t="s">
        <v>6</v>
      </c>
      <c r="CE40">
        <v>0</v>
      </c>
      <c r="CF40">
        <v>0</v>
      </c>
      <c r="CG40">
        <v>0</v>
      </c>
      <c r="CM40">
        <v>0</v>
      </c>
      <c r="CN40" t="s">
        <v>6</v>
      </c>
      <c r="CO40">
        <v>0</v>
      </c>
      <c r="CP40" t="e">
        <f t="shared" si="30"/>
        <v>#REF!</v>
      </c>
      <c r="CQ40" t="e">
        <f t="shared" si="54"/>
        <v>#REF!</v>
      </c>
      <c r="CR40">
        <f t="shared" si="55"/>
        <v>0</v>
      </c>
      <c r="CS40">
        <f t="shared" si="33"/>
        <v>0</v>
      </c>
      <c r="CT40">
        <f t="shared" si="34"/>
        <v>0</v>
      </c>
      <c r="CU40">
        <f t="shared" si="35"/>
        <v>0</v>
      </c>
      <c r="CV40">
        <f t="shared" si="36"/>
        <v>0</v>
      </c>
      <c r="CW40">
        <f t="shared" si="37"/>
        <v>0</v>
      </c>
      <c r="CX40">
        <f t="shared" si="38"/>
        <v>0</v>
      </c>
      <c r="CY40">
        <f>0</f>
        <v>0</v>
      </c>
      <c r="CZ40">
        <f>0</f>
        <v>0</v>
      </c>
      <c r="DC40" t="s">
        <v>6</v>
      </c>
      <c r="DD40" t="s">
        <v>6</v>
      </c>
      <c r="DE40" t="s">
        <v>6</v>
      </c>
      <c r="DF40" t="s">
        <v>6</v>
      </c>
      <c r="DG40" t="s">
        <v>6</v>
      </c>
      <c r="DH40" t="s">
        <v>6</v>
      </c>
      <c r="DI40" t="s">
        <v>6</v>
      </c>
      <c r="DJ40" t="s">
        <v>6</v>
      </c>
      <c r="DK40" t="s">
        <v>6</v>
      </c>
      <c r="DL40" t="s">
        <v>6</v>
      </c>
      <c r="DM40" t="s">
        <v>6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120</v>
      </c>
      <c r="DW40" t="e">
        <f>'1.Лок.смета.и.Акт'!#REF!</f>
        <v>#REF!</v>
      </c>
      <c r="DX40">
        <v>1</v>
      </c>
      <c r="DZ40" t="s">
        <v>6</v>
      </c>
      <c r="EA40" t="s">
        <v>6</v>
      </c>
      <c r="EB40" t="s">
        <v>6</v>
      </c>
      <c r="EC40" t="s">
        <v>6</v>
      </c>
      <c r="EE40">
        <v>59670229</v>
      </c>
      <c r="EF40">
        <v>12</v>
      </c>
      <c r="EG40" t="s">
        <v>122</v>
      </c>
      <c r="EH40">
        <v>0</v>
      </c>
      <c r="EI40" t="s">
        <v>6</v>
      </c>
      <c r="EJ40">
        <v>2</v>
      </c>
      <c r="EK40">
        <v>500002</v>
      </c>
      <c r="EL40" t="s">
        <v>123</v>
      </c>
      <c r="EM40" t="s">
        <v>124</v>
      </c>
      <c r="EO40" t="s">
        <v>6</v>
      </c>
      <c r="EQ40">
        <v>0</v>
      </c>
      <c r="ER40">
        <v>332014.75</v>
      </c>
      <c r="ES40" s="23" t="e">
        <f>'1.Лок.смета.и.Акт'!#REF!</f>
        <v>#REF!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39"/>
        <v>0</v>
      </c>
      <c r="FS40">
        <v>0</v>
      </c>
      <c r="FX40">
        <v>0</v>
      </c>
      <c r="FY40">
        <v>0</v>
      </c>
      <c r="GA40" t="s">
        <v>6</v>
      </c>
      <c r="GD40">
        <v>1</v>
      </c>
      <c r="GF40">
        <v>-1002912276</v>
      </c>
      <c r="GG40">
        <v>2</v>
      </c>
      <c r="GH40">
        <v>1</v>
      </c>
      <c r="GI40">
        <v>4</v>
      </c>
      <c r="GJ40">
        <v>0</v>
      </c>
      <c r="GK40">
        <v>0</v>
      </c>
      <c r="GL40">
        <f t="shared" si="40"/>
        <v>0</v>
      </c>
      <c r="GM40" t="e">
        <f t="shared" si="41"/>
        <v>#REF!</v>
      </c>
      <c r="GN40">
        <f t="shared" si="42"/>
        <v>0</v>
      </c>
      <c r="GO40" t="e">
        <f t="shared" si="43"/>
        <v>#REF!</v>
      </c>
      <c r="GP40">
        <f t="shared" si="44"/>
        <v>0</v>
      </c>
      <c r="GR40">
        <v>0</v>
      </c>
      <c r="GS40">
        <v>3</v>
      </c>
      <c r="GT40">
        <v>0</v>
      </c>
      <c r="GU40" t="s">
        <v>6</v>
      </c>
      <c r="GV40">
        <f t="shared" si="45"/>
        <v>0</v>
      </c>
      <c r="GW40">
        <v>1</v>
      </c>
      <c r="GX40" t="e">
        <f t="shared" si="46"/>
        <v>#REF!</v>
      </c>
      <c r="HA40">
        <v>0</v>
      </c>
      <c r="HB40">
        <v>0</v>
      </c>
      <c r="HC40">
        <f t="shared" si="47"/>
        <v>0</v>
      </c>
      <c r="HE40" t="s">
        <v>6</v>
      </c>
      <c r="HF40" t="s">
        <v>6</v>
      </c>
      <c r="HM40" t="s">
        <v>6</v>
      </c>
      <c r="HN40" t="s">
        <v>6</v>
      </c>
      <c r="HO40" t="s">
        <v>6</v>
      </c>
      <c r="HP40" t="s">
        <v>6</v>
      </c>
      <c r="HQ40" t="s">
        <v>6</v>
      </c>
      <c r="IF40">
        <v>-1</v>
      </c>
      <c r="IK40">
        <v>0</v>
      </c>
    </row>
    <row r="41" spans="1:247" x14ac:dyDescent="0.2">
      <c r="A41">
        <v>17</v>
      </c>
      <c r="B41">
        <v>1</v>
      </c>
      <c r="E41" t="s">
        <v>125</v>
      </c>
      <c r="F41" t="e">
        <f>'1.Лок.смета.и.Акт'!#REF!</f>
        <v>#REF!</v>
      </c>
      <c r="G41" t="s">
        <v>127</v>
      </c>
      <c r="H41" t="s">
        <v>95</v>
      </c>
      <c r="I41" t="e">
        <f>'1.Лок.смета.и.Акт'!#REF!</f>
        <v>#REF!</v>
      </c>
      <c r="J41">
        <v>0</v>
      </c>
      <c r="K41">
        <v>1695</v>
      </c>
      <c r="O41" t="e">
        <f t="shared" si="14"/>
        <v>#REF!</v>
      </c>
      <c r="P41" t="e">
        <f t="shared" si="15"/>
        <v>#REF!</v>
      </c>
      <c r="Q41" t="e">
        <f t="shared" si="16"/>
        <v>#REF!</v>
      </c>
      <c r="R41" t="e">
        <f t="shared" si="17"/>
        <v>#REF!</v>
      </c>
      <c r="S41" t="e">
        <f t="shared" si="18"/>
        <v>#REF!</v>
      </c>
      <c r="T41" t="e">
        <f t="shared" si="19"/>
        <v>#REF!</v>
      </c>
      <c r="U41" t="e">
        <f t="shared" si="20"/>
        <v>#REF!</v>
      </c>
      <c r="V41" t="e">
        <f t="shared" si="21"/>
        <v>#REF!</v>
      </c>
      <c r="W41" t="e">
        <f t="shared" si="22"/>
        <v>#REF!</v>
      </c>
      <c r="X41" t="e">
        <f t="shared" si="23"/>
        <v>#REF!</v>
      </c>
      <c r="Y41" t="e">
        <f t="shared" si="24"/>
        <v>#REF!</v>
      </c>
      <c r="AA41">
        <v>70471737</v>
      </c>
      <c r="AB41" t="e">
        <f t="shared" si="25"/>
        <v>#REF!</v>
      </c>
      <c r="AC41" t="e">
        <f t="shared" si="26"/>
        <v>#REF!</v>
      </c>
      <c r="AD41">
        <f t="shared" si="27"/>
        <v>0</v>
      </c>
      <c r="AE41">
        <f t="shared" si="48"/>
        <v>0</v>
      </c>
      <c r="AF41">
        <f t="shared" si="50"/>
        <v>0</v>
      </c>
      <c r="AG41">
        <f t="shared" si="28"/>
        <v>0</v>
      </c>
      <c r="AH41">
        <f t="shared" si="51"/>
        <v>0</v>
      </c>
      <c r="AI41">
        <f t="shared" si="49"/>
        <v>0</v>
      </c>
      <c r="AJ41">
        <f t="shared" si="29"/>
        <v>0</v>
      </c>
      <c r="AK41">
        <v>1270.7600000000002</v>
      </c>
      <c r="AL41" s="23" t="e">
        <f>'1.Лок.смета.и.Акт'!#REF!</f>
        <v>#REF!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 t="e">
        <f>'1.Лок.смета.и.Акт'!#REF!</f>
        <v>#REF!</v>
      </c>
      <c r="BD41" t="s">
        <v>6</v>
      </c>
      <c r="BE41" t="s">
        <v>6</v>
      </c>
      <c r="BF41" t="s">
        <v>6</v>
      </c>
      <c r="BG41" t="s">
        <v>6</v>
      </c>
      <c r="BH41">
        <v>3</v>
      </c>
      <c r="BI41">
        <v>1</v>
      </c>
      <c r="BJ41" t="s">
        <v>6</v>
      </c>
      <c r="BM41">
        <v>1100</v>
      </c>
      <c r="BN41">
        <v>0</v>
      </c>
      <c r="BO41" t="s">
        <v>6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6</v>
      </c>
      <c r="BZ41">
        <v>0</v>
      </c>
      <c r="CA41">
        <v>0</v>
      </c>
      <c r="CB41" t="s">
        <v>6</v>
      </c>
      <c r="CE41">
        <v>0</v>
      </c>
      <c r="CF41">
        <v>0</v>
      </c>
      <c r="CG41">
        <v>0</v>
      </c>
      <c r="CM41">
        <v>0</v>
      </c>
      <c r="CN41" t="s">
        <v>6</v>
      </c>
      <c r="CO41">
        <v>0</v>
      </c>
      <c r="CP41" t="e">
        <f t="shared" si="30"/>
        <v>#REF!</v>
      </c>
      <c r="CQ41" t="e">
        <f>AC41</f>
        <v>#REF!</v>
      </c>
      <c r="CR41">
        <f>(((ET41)-(EU41)*BS41)+AE41*BS41)</f>
        <v>0</v>
      </c>
      <c r="CS41">
        <f t="shared" si="33"/>
        <v>0</v>
      </c>
      <c r="CT41">
        <f t="shared" si="34"/>
        <v>0</v>
      </c>
      <c r="CU41">
        <f t="shared" si="35"/>
        <v>0</v>
      </c>
      <c r="CV41">
        <f t="shared" si="36"/>
        <v>0</v>
      </c>
      <c r="CW41">
        <f t="shared" si="37"/>
        <v>0</v>
      </c>
      <c r="CX41">
        <f t="shared" si="38"/>
        <v>0</v>
      </c>
      <c r="CY41" t="e">
        <f>(((S41+R41)*AT41)/100)</f>
        <v>#REF!</v>
      </c>
      <c r="CZ41" t="e">
        <f>(((S41+R41)*AU41)/100)</f>
        <v>#REF!</v>
      </c>
      <c r="DC41" t="s">
        <v>6</v>
      </c>
      <c r="DD41" t="s">
        <v>6</v>
      </c>
      <c r="DE41" t="s">
        <v>6</v>
      </c>
      <c r="DF41" t="s">
        <v>6</v>
      </c>
      <c r="DG41" t="s">
        <v>6</v>
      </c>
      <c r="DH41" t="s">
        <v>6</v>
      </c>
      <c r="DI41" t="s">
        <v>6</v>
      </c>
      <c r="DJ41" t="s">
        <v>6</v>
      </c>
      <c r="DK41" t="s">
        <v>6</v>
      </c>
      <c r="DL41" t="s">
        <v>6</v>
      </c>
      <c r="DM41" t="s">
        <v>6</v>
      </c>
      <c r="DN41">
        <v>0</v>
      </c>
      <c r="DO41">
        <v>0</v>
      </c>
      <c r="DP41">
        <v>1</v>
      </c>
      <c r="DQ41">
        <v>1</v>
      </c>
      <c r="DU41">
        <v>1003</v>
      </c>
      <c r="DV41" t="s">
        <v>95</v>
      </c>
      <c r="DW41" t="e">
        <f>'1.Лок.смета.и.Акт'!#REF!</f>
        <v>#REF!</v>
      </c>
      <c r="DX41">
        <v>1</v>
      </c>
      <c r="DZ41" t="s">
        <v>6</v>
      </c>
      <c r="EA41" t="s">
        <v>6</v>
      </c>
      <c r="EB41" t="s">
        <v>6</v>
      </c>
      <c r="EC41" t="s">
        <v>6</v>
      </c>
      <c r="EE41">
        <v>59670555</v>
      </c>
      <c r="EF41">
        <v>8</v>
      </c>
      <c r="EG41" t="s">
        <v>47</v>
      </c>
      <c r="EH41">
        <v>0</v>
      </c>
      <c r="EI41" t="s">
        <v>6</v>
      </c>
      <c r="EJ41">
        <v>1</v>
      </c>
      <c r="EK41">
        <v>1100</v>
      </c>
      <c r="EL41" t="s">
        <v>128</v>
      </c>
      <c r="EM41" t="s">
        <v>129</v>
      </c>
      <c r="EO41" t="s">
        <v>6</v>
      </c>
      <c r="EQ41">
        <v>0</v>
      </c>
      <c r="ER41">
        <v>1208.3800000000001</v>
      </c>
      <c r="ES41" s="23" t="e">
        <f>'1.Лок.смета.и.Акт'!#REF!</f>
        <v>#REF!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5</v>
      </c>
      <c r="FC41">
        <v>1</v>
      </c>
      <c r="FD41">
        <v>18</v>
      </c>
      <c r="FF41">
        <v>1450.05</v>
      </c>
      <c r="FQ41">
        <v>0</v>
      </c>
      <c r="FR41">
        <f t="shared" si="39"/>
        <v>0</v>
      </c>
      <c r="FS41">
        <v>0</v>
      </c>
      <c r="FX41">
        <v>0</v>
      </c>
      <c r="FY41">
        <v>0</v>
      </c>
      <c r="GA41" t="s">
        <v>130</v>
      </c>
      <c r="GD41">
        <v>1</v>
      </c>
      <c r="GF41">
        <v>1638720495</v>
      </c>
      <c r="GG41">
        <v>2</v>
      </c>
      <c r="GH41">
        <v>3</v>
      </c>
      <c r="GI41">
        <v>4</v>
      </c>
      <c r="GJ41">
        <v>0</v>
      </c>
      <c r="GK41">
        <v>0</v>
      </c>
      <c r="GL41">
        <f t="shared" si="40"/>
        <v>0</v>
      </c>
      <c r="GM41" t="e">
        <f t="shared" si="41"/>
        <v>#REF!</v>
      </c>
      <c r="GN41" t="e">
        <f t="shared" si="42"/>
        <v>#REF!</v>
      </c>
      <c r="GO41">
        <f t="shared" si="43"/>
        <v>0</v>
      </c>
      <c r="GP41">
        <f t="shared" si="44"/>
        <v>0</v>
      </c>
      <c r="GR41">
        <v>1</v>
      </c>
      <c r="GS41">
        <v>1</v>
      </c>
      <c r="GT41">
        <v>0</v>
      </c>
      <c r="GU41" t="s">
        <v>6</v>
      </c>
      <c r="GV41">
        <f t="shared" si="45"/>
        <v>0</v>
      </c>
      <c r="GW41">
        <v>1</v>
      </c>
      <c r="GX41" t="e">
        <f t="shared" si="46"/>
        <v>#REF!</v>
      </c>
      <c r="HA41">
        <v>0</v>
      </c>
      <c r="HB41">
        <v>0</v>
      </c>
      <c r="HC41">
        <f t="shared" si="47"/>
        <v>0</v>
      </c>
      <c r="HE41" t="s">
        <v>131</v>
      </c>
      <c r="HF41" t="s">
        <v>27</v>
      </c>
      <c r="HG41" t="e">
        <f>ROUND(AC41*I41,2)</f>
        <v>#REF!</v>
      </c>
      <c r="HM41" t="s">
        <v>6</v>
      </c>
      <c r="HN41" t="s">
        <v>6</v>
      </c>
      <c r="HO41" t="s">
        <v>6</v>
      </c>
      <c r="HP41" t="s">
        <v>6</v>
      </c>
      <c r="HQ41" t="s">
        <v>6</v>
      </c>
      <c r="IF41">
        <v>-1</v>
      </c>
      <c r="IK41">
        <v>0</v>
      </c>
    </row>
    <row r="42" spans="1:247" x14ac:dyDescent="0.2">
      <c r="A42">
        <v>17</v>
      </c>
      <c r="B42">
        <v>1</v>
      </c>
      <c r="C42">
        <f>ROW(SmtRes!A79)</f>
        <v>79</v>
      </c>
      <c r="D42">
        <f>ROW(EtalonRes!A77)</f>
        <v>77</v>
      </c>
      <c r="E42" t="s">
        <v>132</v>
      </c>
      <c r="F42" t="s">
        <v>133</v>
      </c>
      <c r="G42" t="s">
        <v>134</v>
      </c>
      <c r="H42" t="s">
        <v>135</v>
      </c>
      <c r="I42">
        <f>'1.Лок.смета.и.Акт'!E30</f>
        <v>24</v>
      </c>
      <c r="J42">
        <v>0</v>
      </c>
      <c r="K42">
        <v>20</v>
      </c>
      <c r="O42" t="e">
        <f t="shared" si="14"/>
        <v>#REF!</v>
      </c>
      <c r="P42" t="e">
        <f t="shared" si="15"/>
        <v>#REF!</v>
      </c>
      <c r="Q42" t="e">
        <f t="shared" si="16"/>
        <v>#REF!</v>
      </c>
      <c r="R42" t="e">
        <f t="shared" si="17"/>
        <v>#REF!</v>
      </c>
      <c r="S42" t="e">
        <f t="shared" si="18"/>
        <v>#REF!</v>
      </c>
      <c r="T42">
        <f t="shared" si="19"/>
        <v>0</v>
      </c>
      <c r="U42" t="e">
        <f t="shared" si="20"/>
        <v>#REF!</v>
      </c>
      <c r="V42">
        <f t="shared" si="21"/>
        <v>0.48</v>
      </c>
      <c r="W42">
        <f t="shared" si="22"/>
        <v>0</v>
      </c>
      <c r="X42" t="e">
        <f t="shared" si="23"/>
        <v>#REF!</v>
      </c>
      <c r="Y42" t="e">
        <f t="shared" si="24"/>
        <v>#REF!</v>
      </c>
      <c r="AA42">
        <v>70471737</v>
      </c>
      <c r="AB42" t="e">
        <f t="shared" si="25"/>
        <v>#REF!</v>
      </c>
      <c r="AC42" t="e">
        <f t="shared" si="26"/>
        <v>#REF!</v>
      </c>
      <c r="AD42" t="e">
        <f t="shared" si="27"/>
        <v>#REF!</v>
      </c>
      <c r="AE42" t="e">
        <f t="shared" si="48"/>
        <v>#REF!</v>
      </c>
      <c r="AF42" t="e">
        <f t="shared" si="50"/>
        <v>#REF!</v>
      </c>
      <c r="AG42">
        <f t="shared" si="28"/>
        <v>0</v>
      </c>
      <c r="AH42" t="e">
        <f t="shared" si="51"/>
        <v>#REF!</v>
      </c>
      <c r="AI42">
        <f t="shared" si="49"/>
        <v>0.02</v>
      </c>
      <c r="AJ42">
        <f t="shared" si="29"/>
        <v>0</v>
      </c>
      <c r="AK42" t="e">
        <f>AL42+AM42+AO42</f>
        <v>#REF!</v>
      </c>
      <c r="AL42" s="23" t="e">
        <f>'1.Лок.смета.и.Акт'!#REF!</f>
        <v>#REF!</v>
      </c>
      <c r="AM42" s="23" t="e">
        <f>'1.Лок.смета.и.Акт'!#REF!</f>
        <v>#REF!</v>
      </c>
      <c r="AN42" s="23" t="e">
        <f>'1.Лок.смета.и.Акт'!#REF!</f>
        <v>#REF!</v>
      </c>
      <c r="AO42" s="23" t="e">
        <f>'1.Лок.смета.и.Акт'!#REF!</f>
        <v>#REF!</v>
      </c>
      <c r="AP42">
        <v>0</v>
      </c>
      <c r="AQ42" t="e">
        <f>'1.Лок.смета.и.Акт'!#REF!</f>
        <v>#REF!</v>
      </c>
      <c r="AR42">
        <v>0.02</v>
      </c>
      <c r="AS42">
        <v>0</v>
      </c>
      <c r="AT42">
        <v>97</v>
      </c>
      <c r="AU42">
        <v>51</v>
      </c>
      <c r="AV42">
        <v>1</v>
      </c>
      <c r="AW42">
        <v>1</v>
      </c>
      <c r="AZ42">
        <v>1</v>
      </c>
      <c r="BA42" t="e">
        <f>'1.Лок.смета.и.Акт'!#REF!</f>
        <v>#REF!</v>
      </c>
      <c r="BB42" t="e">
        <f>'1.Лок.смета.и.Акт'!#REF!</f>
        <v>#REF!</v>
      </c>
      <c r="BC42" t="e">
        <f>'1.Лок.смета.и.Акт'!#REF!</f>
        <v>#REF!</v>
      </c>
      <c r="BD42" t="s">
        <v>6</v>
      </c>
      <c r="BE42" t="s">
        <v>6</v>
      </c>
      <c r="BF42" t="s">
        <v>6</v>
      </c>
      <c r="BG42" t="s">
        <v>6</v>
      </c>
      <c r="BH42">
        <v>0</v>
      </c>
      <c r="BI42">
        <v>2</v>
      </c>
      <c r="BJ42" t="s">
        <v>136</v>
      </c>
      <c r="BM42">
        <v>108001</v>
      </c>
      <c r="BN42">
        <v>0</v>
      </c>
      <c r="BO42" t="s">
        <v>6</v>
      </c>
      <c r="BP42">
        <v>0</v>
      </c>
      <c r="BQ42">
        <v>3</v>
      </c>
      <c r="BR42">
        <v>0</v>
      </c>
      <c r="BS42" t="e">
        <f>'1.Лок.смета.и.Акт'!#REF!</f>
        <v>#REF!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6</v>
      </c>
      <c r="BZ42">
        <v>97</v>
      </c>
      <c r="CA42">
        <v>51</v>
      </c>
      <c r="CB42" t="s">
        <v>6</v>
      </c>
      <c r="CE42">
        <v>0</v>
      </c>
      <c r="CF42">
        <v>0</v>
      </c>
      <c r="CG42">
        <v>0</v>
      </c>
      <c r="CM42">
        <v>0</v>
      </c>
      <c r="CN42" t="s">
        <v>6</v>
      </c>
      <c r="CO42">
        <v>0</v>
      </c>
      <c r="CP42" t="e">
        <f t="shared" si="30"/>
        <v>#REF!</v>
      </c>
      <c r="CQ42" t="e">
        <f>AC42*BC42</f>
        <v>#REF!</v>
      </c>
      <c r="CR42" t="e">
        <f>(((ET42)*BB42-(EU42)*BS42)+AE42*BS42)</f>
        <v>#REF!</v>
      </c>
      <c r="CS42" t="e">
        <f t="shared" si="33"/>
        <v>#REF!</v>
      </c>
      <c r="CT42" t="e">
        <f t="shared" si="34"/>
        <v>#REF!</v>
      </c>
      <c r="CU42">
        <f t="shared" si="35"/>
        <v>0</v>
      </c>
      <c r="CV42" t="e">
        <f t="shared" si="36"/>
        <v>#REF!</v>
      </c>
      <c r="CW42">
        <f t="shared" si="37"/>
        <v>0.02</v>
      </c>
      <c r="CX42">
        <f t="shared" si="38"/>
        <v>0</v>
      </c>
      <c r="CY42" t="e">
        <f>(((S42+R42)*AT42)/100)</f>
        <v>#REF!</v>
      </c>
      <c r="CZ42" t="e">
        <f>(((S42+R42)*AU42)/100)</f>
        <v>#REF!</v>
      </c>
      <c r="DC42" t="s">
        <v>6</v>
      </c>
      <c r="DD42" t="s">
        <v>6</v>
      </c>
      <c r="DE42" t="s">
        <v>6</v>
      </c>
      <c r="DF42" t="s">
        <v>6</v>
      </c>
      <c r="DG42" t="s">
        <v>6</v>
      </c>
      <c r="DH42" t="s">
        <v>6</v>
      </c>
      <c r="DI42" t="s">
        <v>6</v>
      </c>
      <c r="DJ42" t="s">
        <v>6</v>
      </c>
      <c r="DK42" t="s">
        <v>6</v>
      </c>
      <c r="DL42" t="s">
        <v>6</v>
      </c>
      <c r="DM42" t="s">
        <v>6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135</v>
      </c>
      <c r="DW42" t="str">
        <f>'1.Лок.смета.и.Акт'!D30</f>
        <v>ШТ</v>
      </c>
      <c r="DX42">
        <v>1</v>
      </c>
      <c r="DZ42" t="s">
        <v>6</v>
      </c>
      <c r="EA42" t="s">
        <v>6</v>
      </c>
      <c r="EB42" t="s">
        <v>6</v>
      </c>
      <c r="EC42" t="s">
        <v>6</v>
      </c>
      <c r="EE42">
        <v>59670139</v>
      </c>
      <c r="EF42">
        <v>3</v>
      </c>
      <c r="EG42" t="s">
        <v>63</v>
      </c>
      <c r="EH42">
        <v>0</v>
      </c>
      <c r="EI42" t="s">
        <v>6</v>
      </c>
      <c r="EJ42">
        <v>2</v>
      </c>
      <c r="EK42">
        <v>108001</v>
      </c>
      <c r="EL42" t="s">
        <v>64</v>
      </c>
      <c r="EM42" t="s">
        <v>65</v>
      </c>
      <c r="EO42" t="s">
        <v>6</v>
      </c>
      <c r="EQ42">
        <v>0</v>
      </c>
      <c r="ER42" t="e">
        <f>ES42+ET42+EV42</f>
        <v>#REF!</v>
      </c>
      <c r="ES42" s="23" t="e">
        <f>'1.Лок.смета.и.Акт'!#REF!</f>
        <v>#REF!</v>
      </c>
      <c r="ET42" s="23" t="e">
        <f>'1.Лок.смета.и.Акт'!#REF!</f>
        <v>#REF!</v>
      </c>
      <c r="EU42" s="23" t="e">
        <f>'1.Лок.смета.и.Акт'!#REF!</f>
        <v>#REF!</v>
      </c>
      <c r="EV42" s="23" t="e">
        <f>'1.Лок.смета.и.Акт'!#REF!</f>
        <v>#REF!</v>
      </c>
      <c r="EW42" t="e">
        <f>'1.Лок.смета.и.Акт'!#REF!</f>
        <v>#REF!</v>
      </c>
      <c r="EX42">
        <v>0.02</v>
      </c>
      <c r="EY42">
        <v>0</v>
      </c>
      <c r="FQ42">
        <v>0</v>
      </c>
      <c r="FR42">
        <f t="shared" si="39"/>
        <v>0</v>
      </c>
      <c r="FS42">
        <v>0</v>
      </c>
      <c r="FX42">
        <v>97</v>
      </c>
      <c r="FY42">
        <v>51</v>
      </c>
      <c r="GA42" t="s">
        <v>6</v>
      </c>
      <c r="GD42">
        <v>1</v>
      </c>
      <c r="GF42">
        <v>-902103872</v>
      </c>
      <c r="GG42">
        <v>2</v>
      </c>
      <c r="GH42">
        <v>1</v>
      </c>
      <c r="GI42">
        <v>4</v>
      </c>
      <c r="GJ42">
        <v>0</v>
      </c>
      <c r="GK42">
        <v>0</v>
      </c>
      <c r="GL42">
        <f t="shared" si="40"/>
        <v>0</v>
      </c>
      <c r="GM42" t="e">
        <f t="shared" si="41"/>
        <v>#REF!</v>
      </c>
      <c r="GN42">
        <f t="shared" si="42"/>
        <v>0</v>
      </c>
      <c r="GO42" t="e">
        <f t="shared" si="43"/>
        <v>#REF!</v>
      </c>
      <c r="GP42">
        <f t="shared" si="44"/>
        <v>0</v>
      </c>
      <c r="GR42">
        <v>0</v>
      </c>
      <c r="GS42">
        <v>3</v>
      </c>
      <c r="GT42">
        <v>0</v>
      </c>
      <c r="GU42" t="s">
        <v>6</v>
      </c>
      <c r="GV42">
        <f t="shared" si="45"/>
        <v>0</v>
      </c>
      <c r="GW42">
        <v>1</v>
      </c>
      <c r="GX42">
        <f t="shared" si="46"/>
        <v>0</v>
      </c>
      <c r="HA42">
        <v>0</v>
      </c>
      <c r="HB42">
        <v>0</v>
      </c>
      <c r="HC42">
        <f t="shared" si="47"/>
        <v>0</v>
      </c>
      <c r="HE42" t="s">
        <v>6</v>
      </c>
      <c r="HF42" t="s">
        <v>6</v>
      </c>
      <c r="HM42" t="s">
        <v>6</v>
      </c>
      <c r="HN42" t="s">
        <v>66</v>
      </c>
      <c r="HO42" t="s">
        <v>67</v>
      </c>
      <c r="HP42" t="s">
        <v>64</v>
      </c>
      <c r="HQ42" t="s">
        <v>64</v>
      </c>
      <c r="IF42">
        <v>-1</v>
      </c>
      <c r="IK42">
        <v>0</v>
      </c>
    </row>
    <row r="43" spans="1:247" x14ac:dyDescent="0.2">
      <c r="A43">
        <v>18</v>
      </c>
      <c r="B43">
        <v>1</v>
      </c>
      <c r="C43">
        <v>79</v>
      </c>
      <c r="E43" t="s">
        <v>137</v>
      </c>
      <c r="F43" t="e">
        <f>'1.Лок.смета.и.Акт'!#REF!</f>
        <v>#REF!</v>
      </c>
      <c r="G43" t="s">
        <v>138</v>
      </c>
      <c r="H43" t="s">
        <v>139</v>
      </c>
      <c r="I43">
        <f>I42*J43</f>
        <v>24</v>
      </c>
      <c r="J43" s="60">
        <f>'5.Ведомость_списания'!F75</f>
        <v>1</v>
      </c>
      <c r="K43">
        <v>1</v>
      </c>
      <c r="O43" t="e">
        <f t="shared" si="14"/>
        <v>#REF!</v>
      </c>
      <c r="P43" t="e">
        <f t="shared" si="15"/>
        <v>#REF!</v>
      </c>
      <c r="Q43">
        <f t="shared" si="16"/>
        <v>0</v>
      </c>
      <c r="R43">
        <f t="shared" si="17"/>
        <v>0</v>
      </c>
      <c r="S43">
        <f t="shared" si="18"/>
        <v>0</v>
      </c>
      <c r="T43">
        <f t="shared" si="19"/>
        <v>0</v>
      </c>
      <c r="U43">
        <f t="shared" si="20"/>
        <v>0</v>
      </c>
      <c r="V43">
        <f t="shared" si="21"/>
        <v>0</v>
      </c>
      <c r="W43">
        <f t="shared" si="22"/>
        <v>0</v>
      </c>
      <c r="X43">
        <f t="shared" si="23"/>
        <v>0</v>
      </c>
      <c r="Y43">
        <f t="shared" si="24"/>
        <v>0</v>
      </c>
      <c r="AA43">
        <v>70471737</v>
      </c>
      <c r="AB43" t="e">
        <f t="shared" si="25"/>
        <v>#REF!</v>
      </c>
      <c r="AC43" t="e">
        <f t="shared" si="26"/>
        <v>#REF!</v>
      </c>
      <c r="AD43">
        <f t="shared" si="27"/>
        <v>0</v>
      </c>
      <c r="AE43">
        <f t="shared" si="48"/>
        <v>0</v>
      </c>
      <c r="AF43">
        <f t="shared" si="50"/>
        <v>0</v>
      </c>
      <c r="AG43">
        <f t="shared" si="28"/>
        <v>0</v>
      </c>
      <c r="AH43">
        <f t="shared" si="51"/>
        <v>0</v>
      </c>
      <c r="AI43">
        <f t="shared" si="49"/>
        <v>0</v>
      </c>
      <c r="AJ43">
        <f t="shared" si="29"/>
        <v>0</v>
      </c>
      <c r="AK43">
        <v>6786.13</v>
      </c>
      <c r="AL43" s="23" t="e">
        <f>'1.Лок.смета.и.Акт'!#REF!</f>
        <v>#REF!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 t="e">
        <f>'1.Лок.смета.и.Акт'!#REF!</f>
        <v>#REF!</v>
      </c>
      <c r="BD43" t="s">
        <v>6</v>
      </c>
      <c r="BE43" t="s">
        <v>6</v>
      </c>
      <c r="BF43" t="s">
        <v>6</v>
      </c>
      <c r="BG43" t="s">
        <v>6</v>
      </c>
      <c r="BH43">
        <v>3</v>
      </c>
      <c r="BI43">
        <v>1</v>
      </c>
      <c r="BJ43" t="s">
        <v>6</v>
      </c>
      <c r="BM43">
        <v>1100</v>
      </c>
      <c r="BN43">
        <v>0</v>
      </c>
      <c r="BO43" t="s">
        <v>6</v>
      </c>
      <c r="BP43">
        <v>0</v>
      </c>
      <c r="BQ43">
        <v>8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6</v>
      </c>
      <c r="BZ43">
        <v>0</v>
      </c>
      <c r="CA43">
        <v>0</v>
      </c>
      <c r="CB43" t="s">
        <v>6</v>
      </c>
      <c r="CE43">
        <v>0</v>
      </c>
      <c r="CF43">
        <v>0</v>
      </c>
      <c r="CG43">
        <v>0</v>
      </c>
      <c r="CM43">
        <v>0</v>
      </c>
      <c r="CN43" t="s">
        <v>6</v>
      </c>
      <c r="CO43">
        <v>0</v>
      </c>
      <c r="CP43" t="e">
        <f t="shared" si="30"/>
        <v>#REF!</v>
      </c>
      <c r="CQ43" t="e">
        <f>AC43</f>
        <v>#REF!</v>
      </c>
      <c r="CR43">
        <f>(((ET43)-(EU43)*BS43)+AE43*BS43)</f>
        <v>0</v>
      </c>
      <c r="CS43">
        <f t="shared" si="33"/>
        <v>0</v>
      </c>
      <c r="CT43">
        <f t="shared" si="34"/>
        <v>0</v>
      </c>
      <c r="CU43">
        <f t="shared" si="35"/>
        <v>0</v>
      </c>
      <c r="CV43">
        <f t="shared" si="36"/>
        <v>0</v>
      </c>
      <c r="CW43">
        <f t="shared" si="37"/>
        <v>0</v>
      </c>
      <c r="CX43">
        <f t="shared" si="38"/>
        <v>0</v>
      </c>
      <c r="CY43">
        <f>(((S43+R43)*AT43)/100)</f>
        <v>0</v>
      </c>
      <c r="CZ43">
        <f>(((S43+R43)*AU43)/100)</f>
        <v>0</v>
      </c>
      <c r="DC43" t="s">
        <v>6</v>
      </c>
      <c r="DD43" t="s">
        <v>6</v>
      </c>
      <c r="DE43" t="s">
        <v>6</v>
      </c>
      <c r="DF43" t="s">
        <v>6</v>
      </c>
      <c r="DG43" t="s">
        <v>6</v>
      </c>
      <c r="DH43" t="s">
        <v>6</v>
      </c>
      <c r="DI43" t="s">
        <v>6</v>
      </c>
      <c r="DJ43" t="s">
        <v>6</v>
      </c>
      <c r="DK43" t="s">
        <v>6</v>
      </c>
      <c r="DL43" t="s">
        <v>6</v>
      </c>
      <c r="DM43" t="s">
        <v>6</v>
      </c>
      <c r="DN43">
        <v>0</v>
      </c>
      <c r="DO43">
        <v>0</v>
      </c>
      <c r="DP43">
        <v>1</v>
      </c>
      <c r="DQ43">
        <v>1</v>
      </c>
      <c r="DU43">
        <v>1010</v>
      </c>
      <c r="DV43" t="s">
        <v>139</v>
      </c>
      <c r="DW43" t="e">
        <f>'1.Лок.смета.и.Акт'!#REF!</f>
        <v>#REF!</v>
      </c>
      <c r="DX43">
        <v>1</v>
      </c>
      <c r="DZ43" t="s">
        <v>6</v>
      </c>
      <c r="EA43" t="s">
        <v>6</v>
      </c>
      <c r="EB43" t="s">
        <v>6</v>
      </c>
      <c r="EC43" t="s">
        <v>6</v>
      </c>
      <c r="EE43">
        <v>59670555</v>
      </c>
      <c r="EF43">
        <v>8</v>
      </c>
      <c r="EG43" t="s">
        <v>47</v>
      </c>
      <c r="EH43">
        <v>0</v>
      </c>
      <c r="EI43" t="s">
        <v>6</v>
      </c>
      <c r="EJ43">
        <v>1</v>
      </c>
      <c r="EK43">
        <v>1100</v>
      </c>
      <c r="EL43" t="s">
        <v>128</v>
      </c>
      <c r="EM43" t="s">
        <v>129</v>
      </c>
      <c r="EO43" t="s">
        <v>6</v>
      </c>
      <c r="EQ43">
        <v>0</v>
      </c>
      <c r="ER43">
        <v>6453.03</v>
      </c>
      <c r="ES43" s="23" t="e">
        <f>'1.Лок.смета.и.Акт'!#REF!</f>
        <v>#REF!</v>
      </c>
      <c r="ET43">
        <v>0</v>
      </c>
      <c r="EU43">
        <v>0</v>
      </c>
      <c r="EV43">
        <v>0</v>
      </c>
      <c r="EW43">
        <v>0</v>
      </c>
      <c r="EX43">
        <v>0</v>
      </c>
      <c r="EZ43">
        <v>5</v>
      </c>
      <c r="FC43">
        <v>1</v>
      </c>
      <c r="FD43">
        <v>18</v>
      </c>
      <c r="FF43">
        <v>7743.64</v>
      </c>
      <c r="FQ43">
        <v>0</v>
      </c>
      <c r="FR43">
        <f t="shared" si="39"/>
        <v>0</v>
      </c>
      <c r="FS43">
        <v>0</v>
      </c>
      <c r="FX43">
        <v>0</v>
      </c>
      <c r="FY43">
        <v>0</v>
      </c>
      <c r="GA43" t="s">
        <v>140</v>
      </c>
      <c r="GD43">
        <v>1</v>
      </c>
      <c r="GF43">
        <v>-552325491</v>
      </c>
      <c r="GG43">
        <v>2</v>
      </c>
      <c r="GH43">
        <v>3</v>
      </c>
      <c r="GI43">
        <v>4</v>
      </c>
      <c r="GJ43">
        <v>0</v>
      </c>
      <c r="GK43">
        <v>0</v>
      </c>
      <c r="GL43">
        <f t="shared" si="40"/>
        <v>0</v>
      </c>
      <c r="GM43" t="e">
        <f t="shared" si="41"/>
        <v>#REF!</v>
      </c>
      <c r="GN43" t="e">
        <f t="shared" si="42"/>
        <v>#REF!</v>
      </c>
      <c r="GO43">
        <f t="shared" si="43"/>
        <v>0</v>
      </c>
      <c r="GP43">
        <f t="shared" si="44"/>
        <v>0</v>
      </c>
      <c r="GR43">
        <v>1</v>
      </c>
      <c r="GS43">
        <v>1</v>
      </c>
      <c r="GT43">
        <v>0</v>
      </c>
      <c r="GU43" t="s">
        <v>6</v>
      </c>
      <c r="GV43">
        <f t="shared" si="45"/>
        <v>0</v>
      </c>
      <c r="GW43">
        <v>1</v>
      </c>
      <c r="GX43">
        <f t="shared" si="46"/>
        <v>0</v>
      </c>
      <c r="HA43">
        <v>0</v>
      </c>
      <c r="HB43">
        <v>0</v>
      </c>
      <c r="HC43">
        <f t="shared" si="47"/>
        <v>0</v>
      </c>
      <c r="HE43" t="s">
        <v>131</v>
      </c>
      <c r="HF43" t="s">
        <v>27</v>
      </c>
      <c r="HG43" t="e">
        <f>ROUND(AC43*I43,2)</f>
        <v>#REF!</v>
      </c>
      <c r="HM43" t="s">
        <v>6</v>
      </c>
      <c r="HN43" t="s">
        <v>6</v>
      </c>
      <c r="HO43" t="s">
        <v>6</v>
      </c>
      <c r="HP43" t="s">
        <v>6</v>
      </c>
      <c r="HQ43" t="s">
        <v>6</v>
      </c>
      <c r="IF43">
        <v>-1</v>
      </c>
      <c r="IK43">
        <v>0</v>
      </c>
    </row>
    <row r="44" spans="1:247" x14ac:dyDescent="0.2">
      <c r="IF44">
        <v>-1</v>
      </c>
    </row>
    <row r="45" spans="1:247" x14ac:dyDescent="0.2">
      <c r="A45" s="2">
        <v>51</v>
      </c>
      <c r="B45" s="2">
        <f>B20</f>
        <v>1</v>
      </c>
      <c r="C45" s="2">
        <f>A20</f>
        <v>3</v>
      </c>
      <c r="D45" s="2">
        <f>ROW(A20)</f>
        <v>20</v>
      </c>
      <c r="E45" s="2"/>
      <c r="F45" s="2" t="str">
        <f>IF(F20&lt;&gt;"",F20,"")</f>
        <v>6.3.6</v>
      </c>
      <c r="G45" s="2" t="str">
        <f>IF(G20&lt;&gt;"",G20,"")</f>
        <v>Электроснабжение 10 кВ. Переустройство сетей.</v>
      </c>
      <c r="H45" s="2">
        <v>0</v>
      </c>
      <c r="I45" s="2"/>
      <c r="J45" s="2"/>
      <c r="K45" s="2"/>
      <c r="L45" s="2"/>
      <c r="M45" s="2"/>
      <c r="N45" s="2"/>
      <c r="O45" s="2" t="e">
        <f t="shared" ref="O45:T45" si="56">ROUND(AB45,2)</f>
        <v>#REF!</v>
      </c>
      <c r="P45" s="2" t="e">
        <f t="shared" si="56"/>
        <v>#REF!</v>
      </c>
      <c r="Q45" s="2" t="e">
        <f t="shared" si="56"/>
        <v>#REF!</v>
      </c>
      <c r="R45" s="2" t="e">
        <f t="shared" si="56"/>
        <v>#REF!</v>
      </c>
      <c r="S45" s="2" t="e">
        <f t="shared" si="56"/>
        <v>#REF!</v>
      </c>
      <c r="T45" s="2" t="e">
        <f t="shared" si="56"/>
        <v>#REF!</v>
      </c>
      <c r="U45" s="2" t="e">
        <f>AH45</f>
        <v>#REF!</v>
      </c>
      <c r="V45" s="2" t="e">
        <f>AI45</f>
        <v>#REF!</v>
      </c>
      <c r="W45" s="2" t="e">
        <f>ROUND(AJ45,2)</f>
        <v>#REF!</v>
      </c>
      <c r="X45" s="2" t="e">
        <f>ROUND(AK45,2)</f>
        <v>#REF!</v>
      </c>
      <c r="Y45" s="2" t="e">
        <f>ROUND(AL45,2)</f>
        <v>#REF!</v>
      </c>
      <c r="Z45" s="2"/>
      <c r="AA45" s="2"/>
      <c r="AB45" s="2" t="e">
        <f>ROUND(SUMIF(AA24:AA43,"=70471737",O24:O43),2)</f>
        <v>#REF!</v>
      </c>
      <c r="AC45" s="2" t="e">
        <f>ROUND(SUMIF(AA24:AA43,"=70471737",P24:P43),2)</f>
        <v>#REF!</v>
      </c>
      <c r="AD45" s="2" t="e">
        <f>ROUND(SUMIF(AA24:AA43,"=70471737",Q24:Q43),2)</f>
        <v>#REF!</v>
      </c>
      <c r="AE45" s="2" t="e">
        <f>ROUND(SUMIF(AA24:AA43,"=70471737",R24:R43),2)</f>
        <v>#REF!</v>
      </c>
      <c r="AF45" s="2" t="e">
        <f>ROUND(SUMIF(AA24:AA43,"=70471737",S24:S43),2)</f>
        <v>#REF!</v>
      </c>
      <c r="AG45" s="2" t="e">
        <f>ROUND(SUMIF(AA24:AA43,"=70471737",T24:T43),2)</f>
        <v>#REF!</v>
      </c>
      <c r="AH45" s="2" t="e">
        <f>SUMIF(AA24:AA43,"=70471737",U24:U43)</f>
        <v>#REF!</v>
      </c>
      <c r="AI45" s="2" t="e">
        <f>SUMIF(AA24:AA43,"=70471737",V24:V43)</f>
        <v>#REF!</v>
      </c>
      <c r="AJ45" s="2" t="e">
        <f>ROUND(SUMIF(AA24:AA43,"=70471737",W24:W43),2)</f>
        <v>#REF!</v>
      </c>
      <c r="AK45" s="2" t="e">
        <f>ROUND(SUMIF(AA24:AA43,"=70471737",X24:X43),2)</f>
        <v>#REF!</v>
      </c>
      <c r="AL45" s="2" t="e">
        <f>ROUND(SUMIF(AA24:AA43,"=70471737",Y24:Y43),2)</f>
        <v>#REF!</v>
      </c>
      <c r="AM45" s="2"/>
      <c r="AN45" s="2"/>
      <c r="AO45" s="2">
        <f t="shared" ref="AO45:BD45" si="57">ROUND(BX45,2)</f>
        <v>0</v>
      </c>
      <c r="AP45" s="2">
        <f t="shared" si="57"/>
        <v>0</v>
      </c>
      <c r="AQ45" s="2">
        <f t="shared" si="57"/>
        <v>0</v>
      </c>
      <c r="AR45" s="2" t="e">
        <f t="shared" si="57"/>
        <v>#REF!</v>
      </c>
      <c r="AS45" s="2" t="e">
        <f t="shared" si="57"/>
        <v>#REF!</v>
      </c>
      <c r="AT45" s="2" t="e">
        <f t="shared" si="57"/>
        <v>#REF!</v>
      </c>
      <c r="AU45" s="2" t="e">
        <f t="shared" si="57"/>
        <v>#REF!</v>
      </c>
      <c r="AV45" s="2" t="e">
        <f t="shared" si="57"/>
        <v>#REF!</v>
      </c>
      <c r="AW45" s="2" t="e">
        <f t="shared" si="57"/>
        <v>#REF!</v>
      </c>
      <c r="AX45" s="2">
        <f t="shared" si="57"/>
        <v>0</v>
      </c>
      <c r="AY45" s="2" t="e">
        <f t="shared" si="57"/>
        <v>#REF!</v>
      </c>
      <c r="AZ45" s="2">
        <f t="shared" si="57"/>
        <v>0</v>
      </c>
      <c r="BA45" s="2" t="e">
        <f t="shared" si="57"/>
        <v>#REF!</v>
      </c>
      <c r="BB45" s="2">
        <f t="shared" si="57"/>
        <v>0</v>
      </c>
      <c r="BC45" s="2">
        <f t="shared" si="57"/>
        <v>0</v>
      </c>
      <c r="BD45" s="2">
        <f t="shared" si="57"/>
        <v>0</v>
      </c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>
        <f>ROUND(SUMIF(AA24:AA43,"=70471737",FQ24:FQ43),2)</f>
        <v>0</v>
      </c>
      <c r="BY45" s="2">
        <f>ROUND(SUMIF(AA24:AA43,"=70471737",FR24:FR43),2)</f>
        <v>0</v>
      </c>
      <c r="BZ45" s="2">
        <f>ROUND(SUMIF(AA24:AA43,"=70471737",GL24:GL43),2)</f>
        <v>0</v>
      </c>
      <c r="CA45" s="2" t="e">
        <f>ROUND(SUMIF(AA24:AA43,"=70471737",GM24:GM43),2)</f>
        <v>#REF!</v>
      </c>
      <c r="CB45" s="2" t="e">
        <f>ROUND(SUMIF(AA24:AA43,"=70471737",GN24:GN43),2)</f>
        <v>#REF!</v>
      </c>
      <c r="CC45" s="2" t="e">
        <f>ROUND(SUMIF(AA24:AA43,"=70471737",GO24:GO43),2)</f>
        <v>#REF!</v>
      </c>
      <c r="CD45" s="2" t="e">
        <f>ROUND(SUMIF(AA24:AA43,"=70471737",GP24:GP43),2)</f>
        <v>#REF!</v>
      </c>
      <c r="CE45" s="2" t="e">
        <f>AC45-BX45</f>
        <v>#REF!</v>
      </c>
      <c r="CF45" s="2" t="e">
        <f>AC45-BY45</f>
        <v>#REF!</v>
      </c>
      <c r="CG45" s="2">
        <f>BX45-BZ45</f>
        <v>0</v>
      </c>
      <c r="CH45" s="2" t="e">
        <f>AC45-BX45-BY45+BZ45</f>
        <v>#REF!</v>
      </c>
      <c r="CI45" s="2">
        <f>BY45-BZ45</f>
        <v>0</v>
      </c>
      <c r="CJ45" s="2" t="e">
        <f>ROUND(SUMIF(AA24:AA43,"=70471737",GX24:GX43),2)</f>
        <v>#REF!</v>
      </c>
      <c r="CK45" s="2">
        <f>ROUND(SUMIF(AA24:AA43,"=70471737",GY24:GY43),2)</f>
        <v>0</v>
      </c>
      <c r="CL45" s="2">
        <f>ROUND(SUMIF(AA24:AA43,"=70471737",GZ24:GZ43),2)</f>
        <v>0</v>
      </c>
      <c r="CM45" s="2">
        <f>ROUND(SUMIF(AA24:AA43,"=70471737",HD24:HD43),2)</f>
        <v>0</v>
      </c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>
        <v>0</v>
      </c>
      <c r="IF45">
        <v>-1</v>
      </c>
    </row>
    <row r="46" spans="1:247" x14ac:dyDescent="0.2">
      <c r="IF46">
        <v>-1</v>
      </c>
    </row>
    <row r="47" spans="1:247" x14ac:dyDescent="0.2">
      <c r="A47" s="4">
        <v>50</v>
      </c>
      <c r="B47" s="4">
        <v>0</v>
      </c>
      <c r="C47" s="4">
        <v>0</v>
      </c>
      <c r="D47" s="4">
        <v>1</v>
      </c>
      <c r="E47" s="4">
        <v>201</v>
      </c>
      <c r="F47" s="4" t="e">
        <f>ROUND(Source!O45,O47)</f>
        <v>#REF!</v>
      </c>
      <c r="G47" s="4" t="s">
        <v>141</v>
      </c>
      <c r="H47" s="4" t="s">
        <v>142</v>
      </c>
      <c r="I47" s="4"/>
      <c r="J47" s="4"/>
      <c r="K47" s="4">
        <v>201</v>
      </c>
      <c r="L47" s="4">
        <v>1</v>
      </c>
      <c r="M47" s="4">
        <v>3</v>
      </c>
      <c r="N47" s="4" t="s">
        <v>6</v>
      </c>
      <c r="O47" s="4">
        <v>2</v>
      </c>
      <c r="P47" s="4"/>
      <c r="Q47" s="4"/>
      <c r="R47" s="4"/>
      <c r="S47" s="4"/>
      <c r="T47" s="4"/>
      <c r="U47" s="4"/>
      <c r="V47" s="4"/>
      <c r="W47" s="4">
        <v>4278738.22</v>
      </c>
      <c r="X47" s="4">
        <v>1</v>
      </c>
      <c r="Y47" s="4">
        <v>4278738.22</v>
      </c>
      <c r="Z47" s="4"/>
      <c r="AA47" s="4"/>
      <c r="AB47" s="4"/>
      <c r="IF47">
        <v>-1</v>
      </c>
    </row>
    <row r="48" spans="1:247" x14ac:dyDescent="0.2">
      <c r="A48" s="4">
        <v>50</v>
      </c>
      <c r="B48" s="4">
        <v>0</v>
      </c>
      <c r="C48" s="4">
        <v>0</v>
      </c>
      <c r="D48" s="4">
        <v>1</v>
      </c>
      <c r="E48" s="4">
        <v>202</v>
      </c>
      <c r="F48" s="4" t="e">
        <f>ROUND(Source!P45,O48)</f>
        <v>#REF!</v>
      </c>
      <c r="G48" s="4" t="s">
        <v>143</v>
      </c>
      <c r="H48" s="4" t="s">
        <v>144</v>
      </c>
      <c r="I48" s="4"/>
      <c r="J48" s="4"/>
      <c r="K48" s="4">
        <v>202</v>
      </c>
      <c r="L48" s="4">
        <v>2</v>
      </c>
      <c r="M48" s="4">
        <v>3</v>
      </c>
      <c r="N48" s="4" t="s">
        <v>6</v>
      </c>
      <c r="O48" s="4">
        <v>2</v>
      </c>
      <c r="P48" s="4"/>
      <c r="Q48" s="4"/>
      <c r="R48" s="4"/>
      <c r="S48" s="4"/>
      <c r="T48" s="4"/>
      <c r="U48" s="4"/>
      <c r="V48" s="4"/>
      <c r="W48" s="4">
        <v>3847808.76</v>
      </c>
      <c r="X48" s="4">
        <v>1</v>
      </c>
      <c r="Y48" s="4">
        <v>3847808.76</v>
      </c>
      <c r="Z48" s="4"/>
      <c r="AA48" s="4"/>
      <c r="AB48" s="4"/>
      <c r="IF48">
        <v>-1</v>
      </c>
    </row>
    <row r="49" spans="1:240" x14ac:dyDescent="0.2">
      <c r="A49" s="4">
        <v>50</v>
      </c>
      <c r="B49" s="4">
        <v>0</v>
      </c>
      <c r="C49" s="4">
        <v>0</v>
      </c>
      <c r="D49" s="4">
        <v>1</v>
      </c>
      <c r="E49" s="4">
        <v>222</v>
      </c>
      <c r="F49" s="4">
        <f>ROUND(Source!AO45,O49)</f>
        <v>0</v>
      </c>
      <c r="G49" s="4" t="s">
        <v>145</v>
      </c>
      <c r="H49" s="4" t="s">
        <v>146</v>
      </c>
      <c r="I49" s="4"/>
      <c r="J49" s="4"/>
      <c r="K49" s="4">
        <v>222</v>
      </c>
      <c r="L49" s="4">
        <v>3</v>
      </c>
      <c r="M49" s="4">
        <v>3</v>
      </c>
      <c r="N49" s="4" t="s">
        <v>6</v>
      </c>
      <c r="O49" s="4">
        <v>2</v>
      </c>
      <c r="P49" s="4"/>
      <c r="Q49" s="4"/>
      <c r="R49" s="4"/>
      <c r="S49" s="4"/>
      <c r="T49" s="4"/>
      <c r="U49" s="4"/>
      <c r="V49" s="4"/>
      <c r="W49" s="4">
        <v>0</v>
      </c>
      <c r="X49" s="4">
        <v>1</v>
      </c>
      <c r="Y49" s="4">
        <v>0</v>
      </c>
      <c r="Z49" s="4"/>
      <c r="AA49" s="4"/>
      <c r="AB49" s="4"/>
      <c r="IF49">
        <v>-1</v>
      </c>
    </row>
    <row r="50" spans="1:240" x14ac:dyDescent="0.2">
      <c r="A50" s="4">
        <v>50</v>
      </c>
      <c r="B50" s="4">
        <v>0</v>
      </c>
      <c r="C50" s="4">
        <v>0</v>
      </c>
      <c r="D50" s="4">
        <v>1</v>
      </c>
      <c r="E50" s="4">
        <v>225</v>
      </c>
      <c r="F50" s="4" t="e">
        <f>ROUND(Source!AV45,O50)</f>
        <v>#REF!</v>
      </c>
      <c r="G50" s="4" t="s">
        <v>147</v>
      </c>
      <c r="H50" s="4" t="s">
        <v>148</v>
      </c>
      <c r="I50" s="4"/>
      <c r="J50" s="4"/>
      <c r="K50" s="4">
        <v>225</v>
      </c>
      <c r="L50" s="4">
        <v>4</v>
      </c>
      <c r="M50" s="4">
        <v>3</v>
      </c>
      <c r="N50" s="4" t="s">
        <v>6</v>
      </c>
      <c r="O50" s="4">
        <v>2</v>
      </c>
      <c r="P50" s="4"/>
      <c r="Q50" s="4"/>
      <c r="R50" s="4"/>
      <c r="S50" s="4"/>
      <c r="T50" s="4"/>
      <c r="U50" s="4"/>
      <c r="V50" s="4"/>
      <c r="W50" s="4">
        <v>3847808.76</v>
      </c>
      <c r="X50" s="4">
        <v>1</v>
      </c>
      <c r="Y50" s="4">
        <v>3847808.76</v>
      </c>
      <c r="Z50" s="4"/>
      <c r="AA50" s="4"/>
      <c r="AB50" s="4"/>
      <c r="IF50">
        <v>-1</v>
      </c>
    </row>
    <row r="51" spans="1:240" x14ac:dyDescent="0.2">
      <c r="A51" s="4">
        <v>50</v>
      </c>
      <c r="B51" s="4">
        <v>0</v>
      </c>
      <c r="C51" s="4">
        <v>0</v>
      </c>
      <c r="D51" s="4">
        <v>1</v>
      </c>
      <c r="E51" s="4">
        <v>226</v>
      </c>
      <c r="F51" s="4" t="e">
        <f>ROUND(Source!AW45,O51)</f>
        <v>#REF!</v>
      </c>
      <c r="G51" s="4" t="s">
        <v>149</v>
      </c>
      <c r="H51" s="4" t="s">
        <v>150</v>
      </c>
      <c r="I51" s="4"/>
      <c r="J51" s="4"/>
      <c r="K51" s="4">
        <v>226</v>
      </c>
      <c r="L51" s="4">
        <v>5</v>
      </c>
      <c r="M51" s="4">
        <v>3</v>
      </c>
      <c r="N51" s="4" t="s">
        <v>6</v>
      </c>
      <c r="O51" s="4">
        <v>2</v>
      </c>
      <c r="P51" s="4"/>
      <c r="Q51" s="4"/>
      <c r="R51" s="4"/>
      <c r="S51" s="4"/>
      <c r="T51" s="4"/>
      <c r="U51" s="4"/>
      <c r="V51" s="4"/>
      <c r="W51" s="4">
        <v>3847808.76</v>
      </c>
      <c r="X51" s="4">
        <v>1</v>
      </c>
      <c r="Y51" s="4">
        <v>3847808.76</v>
      </c>
      <c r="Z51" s="4"/>
      <c r="AA51" s="4"/>
      <c r="AB51" s="4"/>
      <c r="IF51">
        <v>-1</v>
      </c>
    </row>
    <row r="52" spans="1:240" x14ac:dyDescent="0.2">
      <c r="A52" s="4">
        <v>50</v>
      </c>
      <c r="B52" s="4">
        <v>0</v>
      </c>
      <c r="C52" s="4">
        <v>0</v>
      </c>
      <c r="D52" s="4">
        <v>1</v>
      </c>
      <c r="E52" s="4">
        <v>227</v>
      </c>
      <c r="F52" s="4">
        <f>ROUND(Source!AX45,O52)</f>
        <v>0</v>
      </c>
      <c r="G52" s="4" t="s">
        <v>151</v>
      </c>
      <c r="H52" s="4" t="s">
        <v>152</v>
      </c>
      <c r="I52" s="4"/>
      <c r="J52" s="4"/>
      <c r="K52" s="4">
        <v>227</v>
      </c>
      <c r="L52" s="4">
        <v>6</v>
      </c>
      <c r="M52" s="4">
        <v>3</v>
      </c>
      <c r="N52" s="4" t="s">
        <v>6</v>
      </c>
      <c r="O52" s="4">
        <v>2</v>
      </c>
      <c r="P52" s="4"/>
      <c r="Q52" s="4"/>
      <c r="R52" s="4"/>
      <c r="S52" s="4"/>
      <c r="T52" s="4"/>
      <c r="U52" s="4"/>
      <c r="V52" s="4"/>
      <c r="W52" s="4">
        <v>0</v>
      </c>
      <c r="X52" s="4">
        <v>1</v>
      </c>
      <c r="Y52" s="4">
        <v>0</v>
      </c>
      <c r="Z52" s="4"/>
      <c r="AA52" s="4"/>
      <c r="AB52" s="4"/>
      <c r="IF52">
        <v>-1</v>
      </c>
    </row>
    <row r="53" spans="1:240" x14ac:dyDescent="0.2">
      <c r="A53" s="4">
        <v>50</v>
      </c>
      <c r="B53" s="4">
        <v>0</v>
      </c>
      <c r="C53" s="4">
        <v>0</v>
      </c>
      <c r="D53" s="4">
        <v>1</v>
      </c>
      <c r="E53" s="4">
        <v>228</v>
      </c>
      <c r="F53" s="4" t="e">
        <f>ROUND(Source!AY45,O53)</f>
        <v>#REF!</v>
      </c>
      <c r="G53" s="4" t="s">
        <v>153</v>
      </c>
      <c r="H53" s="4" t="s">
        <v>154</v>
      </c>
      <c r="I53" s="4"/>
      <c r="J53" s="4"/>
      <c r="K53" s="4">
        <v>228</v>
      </c>
      <c r="L53" s="4">
        <v>7</v>
      </c>
      <c r="M53" s="4">
        <v>3</v>
      </c>
      <c r="N53" s="4" t="s">
        <v>6</v>
      </c>
      <c r="O53" s="4">
        <v>2</v>
      </c>
      <c r="P53" s="4"/>
      <c r="Q53" s="4"/>
      <c r="R53" s="4"/>
      <c r="S53" s="4"/>
      <c r="T53" s="4"/>
      <c r="U53" s="4"/>
      <c r="V53" s="4"/>
      <c r="W53" s="4">
        <v>3847808.76</v>
      </c>
      <c r="X53" s="4">
        <v>1</v>
      </c>
      <c r="Y53" s="4">
        <v>3847808.76</v>
      </c>
      <c r="Z53" s="4"/>
      <c r="AA53" s="4"/>
      <c r="AB53" s="4"/>
      <c r="IF53">
        <v>-1</v>
      </c>
    </row>
    <row r="54" spans="1:240" x14ac:dyDescent="0.2">
      <c r="A54" s="4">
        <v>50</v>
      </c>
      <c r="B54" s="4">
        <v>0</v>
      </c>
      <c r="C54" s="4">
        <v>0</v>
      </c>
      <c r="D54" s="4">
        <v>1</v>
      </c>
      <c r="E54" s="4">
        <v>216</v>
      </c>
      <c r="F54" s="4">
        <f>ROUND(Source!AP45,O54)</f>
        <v>0</v>
      </c>
      <c r="G54" s="4" t="s">
        <v>155</v>
      </c>
      <c r="H54" s="4" t="s">
        <v>156</v>
      </c>
      <c r="I54" s="4"/>
      <c r="J54" s="4"/>
      <c r="K54" s="4">
        <v>216</v>
      </c>
      <c r="L54" s="4">
        <v>8</v>
      </c>
      <c r="M54" s="4">
        <v>3</v>
      </c>
      <c r="N54" s="4" t="s">
        <v>6</v>
      </c>
      <c r="O54" s="4">
        <v>2</v>
      </c>
      <c r="P54" s="4"/>
      <c r="Q54" s="4"/>
      <c r="R54" s="4"/>
      <c r="S54" s="4"/>
      <c r="T54" s="4"/>
      <c r="U54" s="4"/>
      <c r="V54" s="4"/>
      <c r="W54" s="4">
        <v>0</v>
      </c>
      <c r="X54" s="4">
        <v>1</v>
      </c>
      <c r="Y54" s="4">
        <v>0</v>
      </c>
      <c r="Z54" s="4"/>
      <c r="AA54" s="4"/>
      <c r="AB54" s="4"/>
      <c r="IF54">
        <v>-1</v>
      </c>
    </row>
    <row r="55" spans="1:240" x14ac:dyDescent="0.2">
      <c r="A55" s="4">
        <v>50</v>
      </c>
      <c r="B55" s="4">
        <v>0</v>
      </c>
      <c r="C55" s="4">
        <v>0</v>
      </c>
      <c r="D55" s="4">
        <v>1</v>
      </c>
      <c r="E55" s="4">
        <v>223</v>
      </c>
      <c r="F55" s="4">
        <f>ROUND(Source!AQ45,O55)</f>
        <v>0</v>
      </c>
      <c r="G55" s="4" t="s">
        <v>157</v>
      </c>
      <c r="H55" s="4" t="s">
        <v>158</v>
      </c>
      <c r="I55" s="4"/>
      <c r="J55" s="4"/>
      <c r="K55" s="4">
        <v>223</v>
      </c>
      <c r="L55" s="4">
        <v>9</v>
      </c>
      <c r="M55" s="4">
        <v>3</v>
      </c>
      <c r="N55" s="4" t="s">
        <v>6</v>
      </c>
      <c r="O55" s="4">
        <v>2</v>
      </c>
      <c r="P55" s="4"/>
      <c r="Q55" s="4"/>
      <c r="R55" s="4"/>
      <c r="S55" s="4"/>
      <c r="T55" s="4"/>
      <c r="U55" s="4"/>
      <c r="V55" s="4"/>
      <c r="W55" s="4">
        <v>0</v>
      </c>
      <c r="X55" s="4">
        <v>1</v>
      </c>
      <c r="Y55" s="4">
        <v>0</v>
      </c>
      <c r="Z55" s="4"/>
      <c r="AA55" s="4"/>
      <c r="AB55" s="4"/>
      <c r="IF55">
        <v>-1</v>
      </c>
    </row>
    <row r="56" spans="1:240" x14ac:dyDescent="0.2">
      <c r="A56" s="4">
        <v>50</v>
      </c>
      <c r="B56" s="4">
        <v>0</v>
      </c>
      <c r="C56" s="4">
        <v>0</v>
      </c>
      <c r="D56" s="4">
        <v>1</v>
      </c>
      <c r="E56" s="4">
        <v>229</v>
      </c>
      <c r="F56" s="4">
        <f>ROUND(Source!AZ45,O56)</f>
        <v>0</v>
      </c>
      <c r="G56" s="4" t="s">
        <v>159</v>
      </c>
      <c r="H56" s="4" t="s">
        <v>160</v>
      </c>
      <c r="I56" s="4"/>
      <c r="J56" s="4"/>
      <c r="K56" s="4">
        <v>229</v>
      </c>
      <c r="L56" s="4">
        <v>10</v>
      </c>
      <c r="M56" s="4">
        <v>3</v>
      </c>
      <c r="N56" s="4" t="s">
        <v>6</v>
      </c>
      <c r="O56" s="4">
        <v>2</v>
      </c>
      <c r="P56" s="4"/>
      <c r="Q56" s="4"/>
      <c r="R56" s="4"/>
      <c r="S56" s="4"/>
      <c r="T56" s="4"/>
      <c r="U56" s="4"/>
      <c r="V56" s="4"/>
      <c r="W56" s="4">
        <v>0</v>
      </c>
      <c r="X56" s="4">
        <v>1</v>
      </c>
      <c r="Y56" s="4">
        <v>0</v>
      </c>
      <c r="Z56" s="4"/>
      <c r="AA56" s="4"/>
      <c r="AB56" s="4"/>
      <c r="IF56">
        <v>-1</v>
      </c>
    </row>
    <row r="57" spans="1:240" x14ac:dyDescent="0.2">
      <c r="A57" s="4">
        <v>50</v>
      </c>
      <c r="B57" s="4">
        <v>0</v>
      </c>
      <c r="C57" s="4">
        <v>0</v>
      </c>
      <c r="D57" s="4">
        <v>1</v>
      </c>
      <c r="E57" s="4">
        <v>203</v>
      </c>
      <c r="F57" s="4" t="e">
        <f>ROUND(Source!Q45,O57)</f>
        <v>#REF!</v>
      </c>
      <c r="G57" s="4" t="s">
        <v>161</v>
      </c>
      <c r="H57" s="4" t="s">
        <v>162</v>
      </c>
      <c r="I57" s="4"/>
      <c r="J57" s="4"/>
      <c r="K57" s="4">
        <v>203</v>
      </c>
      <c r="L57" s="4">
        <v>11</v>
      </c>
      <c r="M57" s="4">
        <v>3</v>
      </c>
      <c r="N57" s="4" t="s">
        <v>6</v>
      </c>
      <c r="O57" s="4">
        <v>2</v>
      </c>
      <c r="P57" s="4"/>
      <c r="Q57" s="4"/>
      <c r="R57" s="4"/>
      <c r="S57" s="4"/>
      <c r="T57" s="4"/>
      <c r="U57" s="4"/>
      <c r="V57" s="4"/>
      <c r="W57" s="4">
        <v>138913.20000000001</v>
      </c>
      <c r="X57" s="4">
        <v>1</v>
      </c>
      <c r="Y57" s="4">
        <v>138913.20000000001</v>
      </c>
      <c r="Z57" s="4"/>
      <c r="AA57" s="4"/>
      <c r="AB57" s="4"/>
      <c r="IF57">
        <v>-1</v>
      </c>
    </row>
    <row r="58" spans="1:240" x14ac:dyDescent="0.2">
      <c r="A58" s="4">
        <v>50</v>
      </c>
      <c r="B58" s="4">
        <v>0</v>
      </c>
      <c r="C58" s="4">
        <v>0</v>
      </c>
      <c r="D58" s="4">
        <v>1</v>
      </c>
      <c r="E58" s="4">
        <v>231</v>
      </c>
      <c r="F58" s="4">
        <f>ROUND(Source!BB45,O58)</f>
        <v>0</v>
      </c>
      <c r="G58" s="4" t="s">
        <v>163</v>
      </c>
      <c r="H58" s="4" t="s">
        <v>164</v>
      </c>
      <c r="I58" s="4"/>
      <c r="J58" s="4"/>
      <c r="K58" s="4">
        <v>231</v>
      </c>
      <c r="L58" s="4">
        <v>12</v>
      </c>
      <c r="M58" s="4">
        <v>3</v>
      </c>
      <c r="N58" s="4" t="s">
        <v>6</v>
      </c>
      <c r="O58" s="4">
        <v>2</v>
      </c>
      <c r="P58" s="4"/>
      <c r="Q58" s="4"/>
      <c r="R58" s="4"/>
      <c r="S58" s="4"/>
      <c r="T58" s="4"/>
      <c r="U58" s="4"/>
      <c r="V58" s="4"/>
      <c r="W58" s="4">
        <v>0</v>
      </c>
      <c r="X58" s="4">
        <v>1</v>
      </c>
      <c r="Y58" s="4">
        <v>0</v>
      </c>
      <c r="Z58" s="4"/>
      <c r="AA58" s="4"/>
      <c r="AB58" s="4"/>
      <c r="IF58">
        <v>-1</v>
      </c>
    </row>
    <row r="59" spans="1:240" x14ac:dyDescent="0.2">
      <c r="A59" s="4">
        <v>50</v>
      </c>
      <c r="B59" s="4">
        <v>0</v>
      </c>
      <c r="C59" s="4">
        <v>0</v>
      </c>
      <c r="D59" s="4">
        <v>1</v>
      </c>
      <c r="E59" s="4">
        <v>204</v>
      </c>
      <c r="F59" s="4" t="e">
        <f>ROUND(Source!R45,O59)</f>
        <v>#REF!</v>
      </c>
      <c r="G59" s="4" t="s">
        <v>165</v>
      </c>
      <c r="H59" s="4" t="s">
        <v>166</v>
      </c>
      <c r="I59" s="4"/>
      <c r="J59" s="4"/>
      <c r="K59" s="4">
        <v>204</v>
      </c>
      <c r="L59" s="4">
        <v>13</v>
      </c>
      <c r="M59" s="4">
        <v>3</v>
      </c>
      <c r="N59" s="4" t="s">
        <v>6</v>
      </c>
      <c r="O59" s="4">
        <v>2</v>
      </c>
      <c r="P59" s="4"/>
      <c r="Q59" s="4"/>
      <c r="R59" s="4"/>
      <c r="S59" s="4"/>
      <c r="T59" s="4"/>
      <c r="U59" s="4"/>
      <c r="V59" s="4"/>
      <c r="W59" s="4">
        <v>59633.31</v>
      </c>
      <c r="X59" s="4">
        <v>1</v>
      </c>
      <c r="Y59" s="4">
        <v>59633.31</v>
      </c>
      <c r="Z59" s="4"/>
      <c r="AA59" s="4"/>
      <c r="AB59" s="4"/>
      <c r="IF59">
        <v>-1</v>
      </c>
    </row>
    <row r="60" spans="1:240" x14ac:dyDescent="0.2">
      <c r="A60" s="4">
        <v>50</v>
      </c>
      <c r="B60" s="4">
        <v>0</v>
      </c>
      <c r="C60" s="4">
        <v>0</v>
      </c>
      <c r="D60" s="4">
        <v>1</v>
      </c>
      <c r="E60" s="4">
        <v>205</v>
      </c>
      <c r="F60" s="4" t="e">
        <f>ROUND(Source!S45,O60)</f>
        <v>#REF!</v>
      </c>
      <c r="G60" s="4" t="s">
        <v>167</v>
      </c>
      <c r="H60" s="4" t="s">
        <v>168</v>
      </c>
      <c r="I60" s="4"/>
      <c r="J60" s="4"/>
      <c r="K60" s="4">
        <v>205</v>
      </c>
      <c r="L60" s="4">
        <v>14</v>
      </c>
      <c r="M60" s="4">
        <v>3</v>
      </c>
      <c r="N60" s="4" t="s">
        <v>6</v>
      </c>
      <c r="O60" s="4">
        <v>2</v>
      </c>
      <c r="P60" s="4"/>
      <c r="Q60" s="4"/>
      <c r="R60" s="4"/>
      <c r="S60" s="4"/>
      <c r="T60" s="4"/>
      <c r="U60" s="4"/>
      <c r="V60" s="4"/>
      <c r="W60" s="4">
        <v>292016.26</v>
      </c>
      <c r="X60" s="4">
        <v>1</v>
      </c>
      <c r="Y60" s="4">
        <v>292016.26</v>
      </c>
      <c r="Z60" s="4"/>
      <c r="AA60" s="4"/>
      <c r="AB60" s="4"/>
      <c r="IF60">
        <v>-1</v>
      </c>
    </row>
    <row r="61" spans="1:240" x14ac:dyDescent="0.2">
      <c r="A61" s="4">
        <v>50</v>
      </c>
      <c r="B61" s="4">
        <v>0</v>
      </c>
      <c r="C61" s="4">
        <v>0</v>
      </c>
      <c r="D61" s="4">
        <v>1</v>
      </c>
      <c r="E61" s="4">
        <v>232</v>
      </c>
      <c r="F61" s="4">
        <f>ROUND(Source!BC45,O61)</f>
        <v>0</v>
      </c>
      <c r="G61" s="4" t="s">
        <v>169</v>
      </c>
      <c r="H61" s="4" t="s">
        <v>170</v>
      </c>
      <c r="I61" s="4"/>
      <c r="J61" s="4"/>
      <c r="K61" s="4">
        <v>232</v>
      </c>
      <c r="L61" s="4">
        <v>15</v>
      </c>
      <c r="M61" s="4">
        <v>3</v>
      </c>
      <c r="N61" s="4" t="s">
        <v>6</v>
      </c>
      <c r="O61" s="4">
        <v>2</v>
      </c>
      <c r="P61" s="4"/>
      <c r="Q61" s="4"/>
      <c r="R61" s="4"/>
      <c r="S61" s="4"/>
      <c r="T61" s="4"/>
      <c r="U61" s="4"/>
      <c r="V61" s="4"/>
      <c r="W61" s="4">
        <v>0</v>
      </c>
      <c r="X61" s="4">
        <v>1</v>
      </c>
      <c r="Y61" s="4">
        <v>0</v>
      </c>
      <c r="Z61" s="4"/>
      <c r="AA61" s="4"/>
      <c r="AB61" s="4"/>
      <c r="IF61">
        <v>-1</v>
      </c>
    </row>
    <row r="62" spans="1:240" x14ac:dyDescent="0.2">
      <c r="A62" s="4">
        <v>50</v>
      </c>
      <c r="B62" s="4">
        <v>0</v>
      </c>
      <c r="C62" s="4">
        <v>0</v>
      </c>
      <c r="D62" s="4">
        <v>1</v>
      </c>
      <c r="E62" s="4">
        <v>214</v>
      </c>
      <c r="F62" s="4" t="e">
        <f>ROUND(Source!AS45,O62)</f>
        <v>#REF!</v>
      </c>
      <c r="G62" s="4" t="s">
        <v>171</v>
      </c>
      <c r="H62" s="4" t="s">
        <v>172</v>
      </c>
      <c r="I62" s="4"/>
      <c r="J62" s="4"/>
      <c r="K62" s="4">
        <v>214</v>
      </c>
      <c r="L62" s="4">
        <v>16</v>
      </c>
      <c r="M62" s="4">
        <v>3</v>
      </c>
      <c r="N62" s="4" t="s">
        <v>6</v>
      </c>
      <c r="O62" s="4">
        <v>2</v>
      </c>
      <c r="P62" s="4"/>
      <c r="Q62" s="4"/>
      <c r="R62" s="4"/>
      <c r="S62" s="4"/>
      <c r="T62" s="4"/>
      <c r="U62" s="4"/>
      <c r="V62" s="4"/>
      <c r="W62" s="4">
        <v>2610115.7200000002</v>
      </c>
      <c r="X62" s="4">
        <v>1</v>
      </c>
      <c r="Y62" s="4">
        <v>2610115.7200000002</v>
      </c>
      <c r="Z62" s="4"/>
      <c r="AA62" s="4"/>
      <c r="AB62" s="4"/>
      <c r="IF62">
        <v>-1</v>
      </c>
    </row>
    <row r="63" spans="1:240" x14ac:dyDescent="0.2">
      <c r="A63" s="4">
        <v>50</v>
      </c>
      <c r="B63" s="4">
        <v>0</v>
      </c>
      <c r="C63" s="4">
        <v>0</v>
      </c>
      <c r="D63" s="4">
        <v>1</v>
      </c>
      <c r="E63" s="4">
        <v>215</v>
      </c>
      <c r="F63" s="4" t="e">
        <f>ROUND(Source!AT45,O63)</f>
        <v>#REF!</v>
      </c>
      <c r="G63" s="4" t="s">
        <v>173</v>
      </c>
      <c r="H63" s="4" t="s">
        <v>174</v>
      </c>
      <c r="I63" s="4"/>
      <c r="J63" s="4"/>
      <c r="K63" s="4">
        <v>215</v>
      </c>
      <c r="L63" s="4">
        <v>17</v>
      </c>
      <c r="M63" s="4">
        <v>3</v>
      </c>
      <c r="N63" s="4" t="s">
        <v>6</v>
      </c>
      <c r="O63" s="4">
        <v>2</v>
      </c>
      <c r="P63" s="4"/>
      <c r="Q63" s="4"/>
      <c r="R63" s="4"/>
      <c r="S63" s="4"/>
      <c r="T63" s="4"/>
      <c r="U63" s="4"/>
      <c r="V63" s="4"/>
      <c r="W63" s="4">
        <v>2000803.75</v>
      </c>
      <c r="X63" s="4">
        <v>1</v>
      </c>
      <c r="Y63" s="4">
        <v>2000803.75</v>
      </c>
      <c r="Z63" s="4"/>
      <c r="AA63" s="4"/>
      <c r="AB63" s="4"/>
      <c r="IF63">
        <v>-1</v>
      </c>
    </row>
    <row r="64" spans="1:240" x14ac:dyDescent="0.2">
      <c r="A64" s="4">
        <v>50</v>
      </c>
      <c r="B64" s="4">
        <v>0</v>
      </c>
      <c r="C64" s="4">
        <v>0</v>
      </c>
      <c r="D64" s="4">
        <v>1</v>
      </c>
      <c r="E64" s="4">
        <v>217</v>
      </c>
      <c r="F64" s="4" t="e">
        <f>ROUND(Source!AU45,O64)</f>
        <v>#REF!</v>
      </c>
      <c r="G64" s="4" t="s">
        <v>175</v>
      </c>
      <c r="H64" s="4" t="s">
        <v>176</v>
      </c>
      <c r="I64" s="4"/>
      <c r="J64" s="4"/>
      <c r="K64" s="4">
        <v>217</v>
      </c>
      <c r="L64" s="4">
        <v>18</v>
      </c>
      <c r="M64" s="4">
        <v>3</v>
      </c>
      <c r="N64" s="4" t="s">
        <v>6</v>
      </c>
      <c r="O64" s="4">
        <v>2</v>
      </c>
      <c r="P64" s="4"/>
      <c r="Q64" s="4"/>
      <c r="R64" s="4"/>
      <c r="S64" s="4"/>
      <c r="T64" s="4"/>
      <c r="U64" s="4"/>
      <c r="V64" s="4"/>
      <c r="W64" s="4">
        <v>180490.28</v>
      </c>
      <c r="X64" s="4">
        <v>1</v>
      </c>
      <c r="Y64" s="4">
        <v>180490.28</v>
      </c>
      <c r="Z64" s="4"/>
      <c r="AA64" s="4"/>
      <c r="AB64" s="4"/>
      <c r="IF64">
        <v>-1</v>
      </c>
    </row>
    <row r="65" spans="1:240" x14ac:dyDescent="0.2">
      <c r="A65" s="4">
        <v>50</v>
      </c>
      <c r="B65" s="4">
        <v>0</v>
      </c>
      <c r="C65" s="4">
        <v>0</v>
      </c>
      <c r="D65" s="4">
        <v>1</v>
      </c>
      <c r="E65" s="4">
        <v>230</v>
      </c>
      <c r="F65" s="4" t="e">
        <f>ROUND(Source!BA45,O65)</f>
        <v>#REF!</v>
      </c>
      <c r="G65" s="4" t="s">
        <v>177</v>
      </c>
      <c r="H65" s="4" t="s">
        <v>178</v>
      </c>
      <c r="I65" s="4"/>
      <c r="J65" s="4"/>
      <c r="K65" s="4">
        <v>230</v>
      </c>
      <c r="L65" s="4">
        <v>19</v>
      </c>
      <c r="M65" s="4">
        <v>3</v>
      </c>
      <c r="N65" s="4" t="s">
        <v>6</v>
      </c>
      <c r="O65" s="4">
        <v>2</v>
      </c>
      <c r="P65" s="4"/>
      <c r="Q65" s="4"/>
      <c r="R65" s="4"/>
      <c r="S65" s="4"/>
      <c r="T65" s="4"/>
      <c r="U65" s="4"/>
      <c r="V65" s="4"/>
      <c r="W65" s="4">
        <v>0</v>
      </c>
      <c r="X65" s="4">
        <v>1</v>
      </c>
      <c r="Y65" s="4">
        <v>0</v>
      </c>
      <c r="Z65" s="4"/>
      <c r="AA65" s="4"/>
      <c r="AB65" s="4"/>
      <c r="IF65">
        <v>-1</v>
      </c>
    </row>
    <row r="66" spans="1:240" x14ac:dyDescent="0.2">
      <c r="A66" s="4">
        <v>50</v>
      </c>
      <c r="B66" s="4">
        <v>0</v>
      </c>
      <c r="C66" s="4">
        <v>0</v>
      </c>
      <c r="D66" s="4">
        <v>1</v>
      </c>
      <c r="E66" s="4">
        <v>206</v>
      </c>
      <c r="F66" s="4" t="e">
        <f>ROUND(Source!T45,O66)</f>
        <v>#REF!</v>
      </c>
      <c r="G66" s="4" t="s">
        <v>179</v>
      </c>
      <c r="H66" s="4" t="s">
        <v>180</v>
      </c>
      <c r="I66" s="4"/>
      <c r="J66" s="4"/>
      <c r="K66" s="4">
        <v>206</v>
      </c>
      <c r="L66" s="4">
        <v>20</v>
      </c>
      <c r="M66" s="4">
        <v>3</v>
      </c>
      <c r="N66" s="4" t="s">
        <v>6</v>
      </c>
      <c r="O66" s="4">
        <v>2</v>
      </c>
      <c r="P66" s="4"/>
      <c r="Q66" s="4"/>
      <c r="R66" s="4"/>
      <c r="S66" s="4"/>
      <c r="T66" s="4"/>
      <c r="U66" s="4"/>
      <c r="V66" s="4"/>
      <c r="W66" s="4">
        <v>0</v>
      </c>
      <c r="X66" s="4">
        <v>1</v>
      </c>
      <c r="Y66" s="4">
        <v>0</v>
      </c>
      <c r="Z66" s="4"/>
      <c r="AA66" s="4"/>
      <c r="AB66" s="4"/>
      <c r="IF66">
        <v>-1</v>
      </c>
    </row>
    <row r="67" spans="1:240" x14ac:dyDescent="0.2">
      <c r="A67" s="4">
        <v>50</v>
      </c>
      <c r="B67" s="4">
        <v>0</v>
      </c>
      <c r="C67" s="4">
        <v>0</v>
      </c>
      <c r="D67" s="4">
        <v>1</v>
      </c>
      <c r="E67" s="4">
        <v>207</v>
      </c>
      <c r="F67" s="4" t="e">
        <f>ROUND(Source!U45,O67)</f>
        <v>#REF!</v>
      </c>
      <c r="G67" s="4" t="s">
        <v>181</v>
      </c>
      <c r="H67" s="4" t="s">
        <v>182</v>
      </c>
      <c r="I67" s="4"/>
      <c r="J67" s="4"/>
      <c r="K67" s="4">
        <v>207</v>
      </c>
      <c r="L67" s="4">
        <v>21</v>
      </c>
      <c r="M67" s="4">
        <v>3</v>
      </c>
      <c r="N67" s="4" t="s">
        <v>6</v>
      </c>
      <c r="O67" s="4">
        <v>7</v>
      </c>
      <c r="P67" s="4"/>
      <c r="Q67" s="4"/>
      <c r="R67" s="4"/>
      <c r="S67" s="4"/>
      <c r="T67" s="4"/>
      <c r="U67" s="4"/>
      <c r="V67" s="4"/>
      <c r="W67" s="4">
        <v>876.67541419999998</v>
      </c>
      <c r="X67" s="4">
        <v>1</v>
      </c>
      <c r="Y67" s="4">
        <v>876.67541419999998</v>
      </c>
      <c r="Z67" s="4"/>
      <c r="AA67" s="4"/>
      <c r="AB67" s="4"/>
      <c r="IF67">
        <v>-1</v>
      </c>
    </row>
    <row r="68" spans="1:240" x14ac:dyDescent="0.2">
      <c r="A68" s="4">
        <v>50</v>
      </c>
      <c r="B68" s="4">
        <v>0</v>
      </c>
      <c r="C68" s="4">
        <v>0</v>
      </c>
      <c r="D68" s="4">
        <v>1</v>
      </c>
      <c r="E68" s="4">
        <v>208</v>
      </c>
      <c r="F68" s="4" t="e">
        <f>ROUND(Source!V45,O68)</f>
        <v>#REF!</v>
      </c>
      <c r="G68" s="4" t="s">
        <v>183</v>
      </c>
      <c r="H68" s="4" t="s">
        <v>184</v>
      </c>
      <c r="I68" s="4"/>
      <c r="J68" s="4"/>
      <c r="K68" s="4">
        <v>208</v>
      </c>
      <c r="L68" s="4">
        <v>22</v>
      </c>
      <c r="M68" s="4">
        <v>3</v>
      </c>
      <c r="N68" s="4" t="s">
        <v>6</v>
      </c>
      <c r="O68" s="4">
        <v>7</v>
      </c>
      <c r="P68" s="4"/>
      <c r="Q68" s="4"/>
      <c r="R68" s="4"/>
      <c r="S68" s="4"/>
      <c r="T68" s="4"/>
      <c r="U68" s="4"/>
      <c r="V68" s="4"/>
      <c r="W68" s="4">
        <v>132.107102</v>
      </c>
      <c r="X68" s="4">
        <v>1</v>
      </c>
      <c r="Y68" s="4">
        <v>132.107102</v>
      </c>
      <c r="Z68" s="4"/>
      <c r="AA68" s="4"/>
      <c r="AB68" s="4"/>
      <c r="IF68">
        <v>-1</v>
      </c>
    </row>
    <row r="69" spans="1:240" x14ac:dyDescent="0.2">
      <c r="A69" s="4">
        <v>50</v>
      </c>
      <c r="B69" s="4">
        <v>0</v>
      </c>
      <c r="C69" s="4">
        <v>0</v>
      </c>
      <c r="D69" s="4">
        <v>1</v>
      </c>
      <c r="E69" s="4">
        <v>209</v>
      </c>
      <c r="F69" s="4" t="e">
        <f>ROUND(Source!W45,O69)</f>
        <v>#REF!</v>
      </c>
      <c r="G69" s="4" t="s">
        <v>185</v>
      </c>
      <c r="H69" s="4" t="s">
        <v>186</v>
      </c>
      <c r="I69" s="4"/>
      <c r="J69" s="4"/>
      <c r="K69" s="4">
        <v>209</v>
      </c>
      <c r="L69" s="4">
        <v>23</v>
      </c>
      <c r="M69" s="4">
        <v>3</v>
      </c>
      <c r="N69" s="4" t="s">
        <v>6</v>
      </c>
      <c r="O69" s="4">
        <v>2</v>
      </c>
      <c r="P69" s="4"/>
      <c r="Q69" s="4"/>
      <c r="R69" s="4"/>
      <c r="S69" s="4"/>
      <c r="T69" s="4"/>
      <c r="U69" s="4"/>
      <c r="V69" s="4"/>
      <c r="W69" s="4">
        <v>0</v>
      </c>
      <c r="X69" s="4">
        <v>1</v>
      </c>
      <c r="Y69" s="4">
        <v>0</v>
      </c>
      <c r="Z69" s="4"/>
      <c r="AA69" s="4"/>
      <c r="AB69" s="4"/>
      <c r="IF69">
        <v>-1</v>
      </c>
    </row>
    <row r="70" spans="1:240" x14ac:dyDescent="0.2">
      <c r="A70" s="4">
        <v>50</v>
      </c>
      <c r="B70" s="4">
        <v>0</v>
      </c>
      <c r="C70" s="4">
        <v>0</v>
      </c>
      <c r="D70" s="4">
        <v>1</v>
      </c>
      <c r="E70" s="4">
        <v>233</v>
      </c>
      <c r="F70" s="4">
        <f>ROUND(Source!BD45,O70)</f>
        <v>0</v>
      </c>
      <c r="G70" s="4" t="s">
        <v>187</v>
      </c>
      <c r="H70" s="4" t="s">
        <v>188</v>
      </c>
      <c r="I70" s="4"/>
      <c r="J70" s="4"/>
      <c r="K70" s="4">
        <v>233</v>
      </c>
      <c r="L70" s="4">
        <v>24</v>
      </c>
      <c r="M70" s="4">
        <v>3</v>
      </c>
      <c r="N70" s="4" t="s">
        <v>6</v>
      </c>
      <c r="O70" s="4">
        <v>2</v>
      </c>
      <c r="P70" s="4"/>
      <c r="Q70" s="4"/>
      <c r="R70" s="4"/>
      <c r="S70" s="4"/>
      <c r="T70" s="4"/>
      <c r="U70" s="4"/>
      <c r="V70" s="4"/>
      <c r="W70" s="4">
        <v>0</v>
      </c>
      <c r="X70" s="4">
        <v>1</v>
      </c>
      <c r="Y70" s="4">
        <v>0</v>
      </c>
      <c r="Z70" s="4"/>
      <c r="AA70" s="4"/>
      <c r="AB70" s="4"/>
      <c r="IF70">
        <v>-1</v>
      </c>
    </row>
    <row r="71" spans="1:240" x14ac:dyDescent="0.2">
      <c r="A71" s="4">
        <v>50</v>
      </c>
      <c r="B71" s="4">
        <v>0</v>
      </c>
      <c r="C71" s="4">
        <v>0</v>
      </c>
      <c r="D71" s="4">
        <v>1</v>
      </c>
      <c r="E71" s="4">
        <v>210</v>
      </c>
      <c r="F71" s="4" t="e">
        <f>ROUND(Source!X45,O71)</f>
        <v>#REF!</v>
      </c>
      <c r="G71" s="4" t="s">
        <v>189</v>
      </c>
      <c r="H71" s="4" t="s">
        <v>190</v>
      </c>
      <c r="I71" s="4"/>
      <c r="J71" s="4"/>
      <c r="K71" s="4">
        <v>210</v>
      </c>
      <c r="L71" s="4">
        <v>25</v>
      </c>
      <c r="M71" s="4">
        <v>3</v>
      </c>
      <c r="N71" s="4" t="s">
        <v>6</v>
      </c>
      <c r="O71" s="4">
        <v>2</v>
      </c>
      <c r="P71" s="4"/>
      <c r="Q71" s="4"/>
      <c r="R71" s="4"/>
      <c r="S71" s="4"/>
      <c r="T71" s="4"/>
      <c r="U71" s="4"/>
      <c r="V71" s="4"/>
      <c r="W71" s="4">
        <v>337496.92</v>
      </c>
      <c r="X71" s="4">
        <v>1</v>
      </c>
      <c r="Y71" s="4">
        <v>337496.92</v>
      </c>
      <c r="Z71" s="4"/>
      <c r="AA71" s="4"/>
      <c r="AB71" s="4"/>
      <c r="IF71">
        <v>-1</v>
      </c>
    </row>
    <row r="72" spans="1:240" x14ac:dyDescent="0.2">
      <c r="A72" s="4">
        <v>50</v>
      </c>
      <c r="B72" s="4">
        <v>0</v>
      </c>
      <c r="C72" s="4">
        <v>0</v>
      </c>
      <c r="D72" s="4">
        <v>1</v>
      </c>
      <c r="E72" s="4">
        <v>211</v>
      </c>
      <c r="F72" s="4" t="e">
        <f>ROUND(Source!Y45,O72)</f>
        <v>#REF!</v>
      </c>
      <c r="G72" s="4" t="s">
        <v>191</v>
      </c>
      <c r="H72" s="4" t="s">
        <v>192</v>
      </c>
      <c r="I72" s="4"/>
      <c r="J72" s="4"/>
      <c r="K72" s="4">
        <v>211</v>
      </c>
      <c r="L72" s="4">
        <v>26</v>
      </c>
      <c r="M72" s="4">
        <v>3</v>
      </c>
      <c r="N72" s="4" t="s">
        <v>6</v>
      </c>
      <c r="O72" s="4">
        <v>2</v>
      </c>
      <c r="P72" s="4"/>
      <c r="Q72" s="4"/>
      <c r="R72" s="4"/>
      <c r="S72" s="4"/>
      <c r="T72" s="4"/>
      <c r="U72" s="4"/>
      <c r="V72" s="4"/>
      <c r="W72" s="4">
        <v>175174.61</v>
      </c>
      <c r="X72" s="4">
        <v>1</v>
      </c>
      <c r="Y72" s="4">
        <v>175174.61</v>
      </c>
      <c r="Z72" s="4"/>
      <c r="AA72" s="4"/>
      <c r="AB72" s="4"/>
      <c r="IF72">
        <v>-1</v>
      </c>
    </row>
    <row r="73" spans="1:240" x14ac:dyDescent="0.2">
      <c r="A73" s="4">
        <v>50</v>
      </c>
      <c r="B73" s="4">
        <v>0</v>
      </c>
      <c r="C73" s="4">
        <v>0</v>
      </c>
      <c r="D73" s="4">
        <v>1</v>
      </c>
      <c r="E73" s="4">
        <v>224</v>
      </c>
      <c r="F73" s="4" t="e">
        <f>ROUND(Source!AR45,O73)</f>
        <v>#REF!</v>
      </c>
      <c r="G73" s="4" t="s">
        <v>193</v>
      </c>
      <c r="H73" s="4" t="s">
        <v>194</v>
      </c>
      <c r="I73" s="4"/>
      <c r="J73" s="4"/>
      <c r="K73" s="4">
        <v>224</v>
      </c>
      <c r="L73" s="4">
        <v>27</v>
      </c>
      <c r="M73" s="4">
        <v>3</v>
      </c>
      <c r="N73" s="4" t="s">
        <v>6</v>
      </c>
      <c r="O73" s="4">
        <v>2</v>
      </c>
      <c r="P73" s="4"/>
      <c r="Q73" s="4"/>
      <c r="R73" s="4"/>
      <c r="S73" s="4"/>
      <c r="T73" s="4"/>
      <c r="U73" s="4"/>
      <c r="V73" s="4"/>
      <c r="W73" s="4">
        <v>4791409.75</v>
      </c>
      <c r="X73" s="4">
        <v>1</v>
      </c>
      <c r="Y73" s="4">
        <v>4791409.75</v>
      </c>
      <c r="Z73" s="4"/>
      <c r="AA73" s="4"/>
      <c r="AB73" s="4"/>
      <c r="IF73">
        <v>-1</v>
      </c>
    </row>
    <row r="74" spans="1:240" x14ac:dyDescent="0.2">
      <c r="IF74">
        <v>-1</v>
      </c>
    </row>
    <row r="75" spans="1:240" x14ac:dyDescent="0.2">
      <c r="A75" s="2">
        <v>51</v>
      </c>
      <c r="B75" s="2">
        <f>B12</f>
        <v>131</v>
      </c>
      <c r="C75" s="2">
        <f>A12</f>
        <v>1</v>
      </c>
      <c r="D75" s="2">
        <f>ROW(A12)</f>
        <v>12</v>
      </c>
      <c r="E75" s="2"/>
      <c r="F75" s="2" t="str">
        <f>IF(F12&lt;&gt;"",F12,"")</f>
        <v>6.3.6  Электроснабжение 10 кВ. Переустройство сетей.</v>
      </c>
      <c r="G75" s="2" t="str">
        <f>IF(G12&lt;&gt;"",G12,"")</f>
        <v>Внеплощадочные сети инженерного обеспечения квартала "Зеленые холмы" г. Калуга.</v>
      </c>
      <c r="H75" s="2">
        <v>0</v>
      </c>
      <c r="I75" s="2"/>
      <c r="J75" s="2"/>
      <c r="K75" s="2"/>
      <c r="L75" s="2"/>
      <c r="M75" s="2"/>
      <c r="N75" s="2"/>
      <c r="O75" s="2" t="e">
        <f t="shared" ref="O75:T75" si="58">ROUND(O45,2)</f>
        <v>#REF!</v>
      </c>
      <c r="P75" s="2" t="e">
        <f t="shared" si="58"/>
        <v>#REF!</v>
      </c>
      <c r="Q75" s="2" t="e">
        <f t="shared" si="58"/>
        <v>#REF!</v>
      </c>
      <c r="R75" s="2" t="e">
        <f t="shared" si="58"/>
        <v>#REF!</v>
      </c>
      <c r="S75" s="2" t="e">
        <f t="shared" si="58"/>
        <v>#REF!</v>
      </c>
      <c r="T75" s="2" t="e">
        <f t="shared" si="58"/>
        <v>#REF!</v>
      </c>
      <c r="U75" s="2" t="e">
        <f>U45</f>
        <v>#REF!</v>
      </c>
      <c r="V75" s="2" t="e">
        <f>V45</f>
        <v>#REF!</v>
      </c>
      <c r="W75" s="2" t="e">
        <f>ROUND(W45,2)</f>
        <v>#REF!</v>
      </c>
      <c r="X75" s="2" t="e">
        <f>ROUND(X45,2)</f>
        <v>#REF!</v>
      </c>
      <c r="Y75" s="2" t="e">
        <f>ROUND(Y45,2)</f>
        <v>#REF!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>
        <f t="shared" ref="AO75:BD75" si="59">ROUND(AO45,2)</f>
        <v>0</v>
      </c>
      <c r="AP75" s="2">
        <f t="shared" si="59"/>
        <v>0</v>
      </c>
      <c r="AQ75" s="2">
        <f t="shared" si="59"/>
        <v>0</v>
      </c>
      <c r="AR75" s="2" t="e">
        <f t="shared" si="59"/>
        <v>#REF!</v>
      </c>
      <c r="AS75" s="2" t="e">
        <f t="shared" si="59"/>
        <v>#REF!</v>
      </c>
      <c r="AT75" s="2" t="e">
        <f t="shared" si="59"/>
        <v>#REF!</v>
      </c>
      <c r="AU75" s="2" t="e">
        <f t="shared" si="59"/>
        <v>#REF!</v>
      </c>
      <c r="AV75" s="2" t="e">
        <f t="shared" si="59"/>
        <v>#REF!</v>
      </c>
      <c r="AW75" s="2" t="e">
        <f t="shared" si="59"/>
        <v>#REF!</v>
      </c>
      <c r="AX75" s="2">
        <f t="shared" si="59"/>
        <v>0</v>
      </c>
      <c r="AY75" s="2" t="e">
        <f t="shared" si="59"/>
        <v>#REF!</v>
      </c>
      <c r="AZ75" s="2">
        <f t="shared" si="59"/>
        <v>0</v>
      </c>
      <c r="BA75" s="2" t="e">
        <f t="shared" si="59"/>
        <v>#REF!</v>
      </c>
      <c r="BB75" s="2">
        <f t="shared" si="59"/>
        <v>0</v>
      </c>
      <c r="BC75" s="2">
        <f t="shared" si="59"/>
        <v>0</v>
      </c>
      <c r="BD75" s="2">
        <f t="shared" si="59"/>
        <v>0</v>
      </c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>
        <v>0</v>
      </c>
      <c r="IF75">
        <v>-1</v>
      </c>
    </row>
    <row r="76" spans="1:240" x14ac:dyDescent="0.2">
      <c r="IF76">
        <v>-1</v>
      </c>
    </row>
    <row r="77" spans="1:240" x14ac:dyDescent="0.2">
      <c r="A77" s="4">
        <v>50</v>
      </c>
      <c r="B77" s="4">
        <v>0</v>
      </c>
      <c r="C77" s="4">
        <v>0</v>
      </c>
      <c r="D77" s="4">
        <v>1</v>
      </c>
      <c r="E77" s="4">
        <v>201</v>
      </c>
      <c r="F77" s="4" t="e">
        <f>ROUND(Source!O75,O77)</f>
        <v>#REF!</v>
      </c>
      <c r="G77" s="4" t="s">
        <v>141</v>
      </c>
      <c r="H77" s="4" t="s">
        <v>142</v>
      </c>
      <c r="I77" s="4"/>
      <c r="J77" s="4"/>
      <c r="K77" s="4">
        <v>201</v>
      </c>
      <c r="L77" s="4">
        <v>1</v>
      </c>
      <c r="M77" s="4">
        <v>3</v>
      </c>
      <c r="N77" s="4" t="s">
        <v>6</v>
      </c>
      <c r="O77" s="4">
        <v>2</v>
      </c>
      <c r="P77" s="4"/>
      <c r="Q77" s="4"/>
      <c r="R77" s="4"/>
      <c r="S77" s="4"/>
      <c r="T77" s="4"/>
      <c r="U77" s="4"/>
      <c r="V77" s="4"/>
      <c r="W77" s="4">
        <v>4278738.22</v>
      </c>
      <c r="X77" s="4">
        <v>1</v>
      </c>
      <c r="Y77" s="4">
        <v>4278738.22</v>
      </c>
      <c r="Z77" s="4"/>
      <c r="AA77" s="4"/>
      <c r="AB77" s="4"/>
      <c r="IF77">
        <v>-1</v>
      </c>
    </row>
    <row r="78" spans="1:240" x14ac:dyDescent="0.2">
      <c r="A78" s="4">
        <v>50</v>
      </c>
      <c r="B78" s="4">
        <v>0</v>
      </c>
      <c r="C78" s="4">
        <v>0</v>
      </c>
      <c r="D78" s="4">
        <v>1</v>
      </c>
      <c r="E78" s="4">
        <v>202</v>
      </c>
      <c r="F78" s="4" t="e">
        <f>ROUND(Source!P75,O78)</f>
        <v>#REF!</v>
      </c>
      <c r="G78" s="4" t="s">
        <v>143</v>
      </c>
      <c r="H78" s="4" t="s">
        <v>144</v>
      </c>
      <c r="I78" s="4"/>
      <c r="J78" s="4"/>
      <c r="K78" s="4">
        <v>202</v>
      </c>
      <c r="L78" s="4">
        <v>2</v>
      </c>
      <c r="M78" s="4">
        <v>3</v>
      </c>
      <c r="N78" s="4" t="s">
        <v>6</v>
      </c>
      <c r="O78" s="4">
        <v>2</v>
      </c>
      <c r="P78" s="4"/>
      <c r="Q78" s="4"/>
      <c r="R78" s="4"/>
      <c r="S78" s="4"/>
      <c r="T78" s="4"/>
      <c r="U78" s="4"/>
      <c r="V78" s="4"/>
      <c r="W78" s="4">
        <v>3847808.76</v>
      </c>
      <c r="X78" s="4">
        <v>1</v>
      </c>
      <c r="Y78" s="4">
        <v>3847808.76</v>
      </c>
      <c r="Z78" s="4"/>
      <c r="AA78" s="4"/>
      <c r="AB78" s="4"/>
      <c r="IF78">
        <v>-1</v>
      </c>
    </row>
    <row r="79" spans="1:240" x14ac:dyDescent="0.2">
      <c r="A79" s="4">
        <v>50</v>
      </c>
      <c r="B79" s="4">
        <v>0</v>
      </c>
      <c r="C79" s="4">
        <v>0</v>
      </c>
      <c r="D79" s="4">
        <v>1</v>
      </c>
      <c r="E79" s="4">
        <v>222</v>
      </c>
      <c r="F79" s="4">
        <f>ROUND(Source!AO75,O79)</f>
        <v>0</v>
      </c>
      <c r="G79" s="4" t="s">
        <v>145</v>
      </c>
      <c r="H79" s="4" t="s">
        <v>146</v>
      </c>
      <c r="I79" s="4"/>
      <c r="J79" s="4"/>
      <c r="K79" s="4">
        <v>222</v>
      </c>
      <c r="L79" s="4">
        <v>3</v>
      </c>
      <c r="M79" s="4">
        <v>3</v>
      </c>
      <c r="N79" s="4" t="s">
        <v>6</v>
      </c>
      <c r="O79" s="4">
        <v>2</v>
      </c>
      <c r="P79" s="4"/>
      <c r="Q79" s="4"/>
      <c r="R79" s="4"/>
      <c r="S79" s="4"/>
      <c r="T79" s="4"/>
      <c r="U79" s="4"/>
      <c r="V79" s="4"/>
      <c r="W79" s="4">
        <v>0</v>
      </c>
      <c r="X79" s="4">
        <v>1</v>
      </c>
      <c r="Y79" s="4">
        <v>0</v>
      </c>
      <c r="Z79" s="4"/>
      <c r="AA79" s="4"/>
      <c r="AB79" s="4"/>
      <c r="IF79">
        <v>-1</v>
      </c>
    </row>
    <row r="80" spans="1:240" x14ac:dyDescent="0.2">
      <c r="A80" s="4">
        <v>50</v>
      </c>
      <c r="B80" s="4">
        <v>0</v>
      </c>
      <c r="C80" s="4">
        <v>0</v>
      </c>
      <c r="D80" s="4">
        <v>1</v>
      </c>
      <c r="E80" s="4">
        <v>225</v>
      </c>
      <c r="F80" s="4" t="e">
        <f>ROUND(Source!AV75,O80)</f>
        <v>#REF!</v>
      </c>
      <c r="G80" s="4" t="s">
        <v>147</v>
      </c>
      <c r="H80" s="4" t="s">
        <v>148</v>
      </c>
      <c r="I80" s="4"/>
      <c r="J80" s="4"/>
      <c r="K80" s="4">
        <v>225</v>
      </c>
      <c r="L80" s="4">
        <v>4</v>
      </c>
      <c r="M80" s="4">
        <v>3</v>
      </c>
      <c r="N80" s="4" t="s">
        <v>6</v>
      </c>
      <c r="O80" s="4">
        <v>2</v>
      </c>
      <c r="P80" s="4"/>
      <c r="Q80" s="4"/>
      <c r="R80" s="4"/>
      <c r="S80" s="4"/>
      <c r="T80" s="4"/>
      <c r="U80" s="4"/>
      <c r="V80" s="4"/>
      <c r="W80" s="4">
        <v>3847808.76</v>
      </c>
      <c r="X80" s="4">
        <v>1</v>
      </c>
      <c r="Y80" s="4">
        <v>3847808.76</v>
      </c>
      <c r="Z80" s="4"/>
      <c r="AA80" s="4"/>
      <c r="AB80" s="4"/>
      <c r="IF80">
        <v>-1</v>
      </c>
    </row>
    <row r="81" spans="1:240" x14ac:dyDescent="0.2">
      <c r="A81" s="4">
        <v>50</v>
      </c>
      <c r="B81" s="4">
        <v>0</v>
      </c>
      <c r="C81" s="4">
        <v>0</v>
      </c>
      <c r="D81" s="4">
        <v>1</v>
      </c>
      <c r="E81" s="4">
        <v>226</v>
      </c>
      <c r="F81" s="4" t="e">
        <f>ROUND(Source!AW75,O81)</f>
        <v>#REF!</v>
      </c>
      <c r="G81" s="4" t="s">
        <v>149</v>
      </c>
      <c r="H81" s="4" t="s">
        <v>150</v>
      </c>
      <c r="I81" s="4"/>
      <c r="J81" s="4"/>
      <c r="K81" s="4">
        <v>226</v>
      </c>
      <c r="L81" s="4">
        <v>5</v>
      </c>
      <c r="M81" s="4">
        <v>3</v>
      </c>
      <c r="N81" s="4" t="s">
        <v>6</v>
      </c>
      <c r="O81" s="4">
        <v>2</v>
      </c>
      <c r="P81" s="4"/>
      <c r="Q81" s="4"/>
      <c r="R81" s="4"/>
      <c r="S81" s="4"/>
      <c r="T81" s="4"/>
      <c r="U81" s="4"/>
      <c r="V81" s="4"/>
      <c r="W81" s="4">
        <v>3847808.76</v>
      </c>
      <c r="X81" s="4">
        <v>1</v>
      </c>
      <c r="Y81" s="4">
        <v>3847808.76</v>
      </c>
      <c r="Z81" s="4"/>
      <c r="AA81" s="4"/>
      <c r="AB81" s="4"/>
      <c r="IF81">
        <v>-1</v>
      </c>
    </row>
    <row r="82" spans="1:240" x14ac:dyDescent="0.2">
      <c r="A82" s="4">
        <v>50</v>
      </c>
      <c r="B82" s="4">
        <v>0</v>
      </c>
      <c r="C82" s="4">
        <v>0</v>
      </c>
      <c r="D82" s="4">
        <v>1</v>
      </c>
      <c r="E82" s="4">
        <v>227</v>
      </c>
      <c r="F82" s="4">
        <f>ROUND(Source!AX75,O82)</f>
        <v>0</v>
      </c>
      <c r="G82" s="4" t="s">
        <v>151</v>
      </c>
      <c r="H82" s="4" t="s">
        <v>152</v>
      </c>
      <c r="I82" s="4"/>
      <c r="J82" s="4"/>
      <c r="K82" s="4">
        <v>227</v>
      </c>
      <c r="L82" s="4">
        <v>6</v>
      </c>
      <c r="M82" s="4">
        <v>3</v>
      </c>
      <c r="N82" s="4" t="s">
        <v>6</v>
      </c>
      <c r="O82" s="4">
        <v>2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  <c r="IF82">
        <v>-1</v>
      </c>
    </row>
    <row r="83" spans="1:240" x14ac:dyDescent="0.2">
      <c r="A83" s="4">
        <v>50</v>
      </c>
      <c r="B83" s="4">
        <v>0</v>
      </c>
      <c r="C83" s="4">
        <v>0</v>
      </c>
      <c r="D83" s="4">
        <v>1</v>
      </c>
      <c r="E83" s="4">
        <v>228</v>
      </c>
      <c r="F83" s="4" t="e">
        <f>ROUND(Source!AY75,O83)</f>
        <v>#REF!</v>
      </c>
      <c r="G83" s="4" t="s">
        <v>153</v>
      </c>
      <c r="H83" s="4" t="s">
        <v>154</v>
      </c>
      <c r="I83" s="4"/>
      <c r="J83" s="4"/>
      <c r="K83" s="4">
        <v>228</v>
      </c>
      <c r="L83" s="4">
        <v>7</v>
      </c>
      <c r="M83" s="4">
        <v>3</v>
      </c>
      <c r="N83" s="4" t="s">
        <v>6</v>
      </c>
      <c r="O83" s="4">
        <v>2</v>
      </c>
      <c r="P83" s="4"/>
      <c r="Q83" s="4"/>
      <c r="R83" s="4"/>
      <c r="S83" s="4"/>
      <c r="T83" s="4"/>
      <c r="U83" s="4"/>
      <c r="V83" s="4"/>
      <c r="W83" s="4">
        <v>3847808.76</v>
      </c>
      <c r="X83" s="4">
        <v>1</v>
      </c>
      <c r="Y83" s="4">
        <v>3847808.76</v>
      </c>
      <c r="Z83" s="4"/>
      <c r="AA83" s="4"/>
      <c r="AB83" s="4"/>
      <c r="IF83">
        <v>-1</v>
      </c>
    </row>
    <row r="84" spans="1:240" x14ac:dyDescent="0.2">
      <c r="A84" s="4">
        <v>50</v>
      </c>
      <c r="B84" s="4">
        <v>0</v>
      </c>
      <c r="C84" s="4">
        <v>0</v>
      </c>
      <c r="D84" s="4">
        <v>1</v>
      </c>
      <c r="E84" s="4">
        <v>216</v>
      </c>
      <c r="F84" s="4">
        <f>ROUND(Source!AP75,O84)</f>
        <v>0</v>
      </c>
      <c r="G84" s="4" t="s">
        <v>155</v>
      </c>
      <c r="H84" s="4" t="s">
        <v>156</v>
      </c>
      <c r="I84" s="4"/>
      <c r="J84" s="4"/>
      <c r="K84" s="4">
        <v>216</v>
      </c>
      <c r="L84" s="4">
        <v>8</v>
      </c>
      <c r="M84" s="4">
        <v>3</v>
      </c>
      <c r="N84" s="4" t="s">
        <v>6</v>
      </c>
      <c r="O84" s="4">
        <v>2</v>
      </c>
      <c r="P84" s="4"/>
      <c r="Q84" s="4"/>
      <c r="R84" s="4"/>
      <c r="S84" s="4"/>
      <c r="T84" s="4"/>
      <c r="U84" s="4"/>
      <c r="V84" s="4"/>
      <c r="W84" s="4">
        <v>0</v>
      </c>
      <c r="X84" s="4">
        <v>1</v>
      </c>
      <c r="Y84" s="4">
        <v>0</v>
      </c>
      <c r="Z84" s="4"/>
      <c r="AA84" s="4"/>
      <c r="AB84" s="4"/>
      <c r="IF84">
        <v>-1</v>
      </c>
    </row>
    <row r="85" spans="1:240" x14ac:dyDescent="0.2">
      <c r="A85" s="4">
        <v>50</v>
      </c>
      <c r="B85" s="4">
        <v>0</v>
      </c>
      <c r="C85" s="4">
        <v>0</v>
      </c>
      <c r="D85" s="4">
        <v>1</v>
      </c>
      <c r="E85" s="4">
        <v>223</v>
      </c>
      <c r="F85" s="4">
        <f>ROUND(Source!AQ75,O85)</f>
        <v>0</v>
      </c>
      <c r="G85" s="4" t="s">
        <v>157</v>
      </c>
      <c r="H85" s="4" t="s">
        <v>158</v>
      </c>
      <c r="I85" s="4"/>
      <c r="J85" s="4"/>
      <c r="K85" s="4">
        <v>223</v>
      </c>
      <c r="L85" s="4">
        <v>9</v>
      </c>
      <c r="M85" s="4">
        <v>3</v>
      </c>
      <c r="N85" s="4" t="s">
        <v>6</v>
      </c>
      <c r="O85" s="4">
        <v>2</v>
      </c>
      <c r="P85" s="4"/>
      <c r="Q85" s="4"/>
      <c r="R85" s="4"/>
      <c r="S85" s="4"/>
      <c r="T85" s="4"/>
      <c r="U85" s="4"/>
      <c r="V85" s="4"/>
      <c r="W85" s="4">
        <v>0</v>
      </c>
      <c r="X85" s="4">
        <v>1</v>
      </c>
      <c r="Y85" s="4">
        <v>0</v>
      </c>
      <c r="Z85" s="4"/>
      <c r="AA85" s="4"/>
      <c r="AB85" s="4"/>
      <c r="IF85">
        <v>-1</v>
      </c>
    </row>
    <row r="86" spans="1:240" x14ac:dyDescent="0.2">
      <c r="A86" s="4">
        <v>50</v>
      </c>
      <c r="B86" s="4">
        <v>0</v>
      </c>
      <c r="C86" s="4">
        <v>0</v>
      </c>
      <c r="D86" s="4">
        <v>1</v>
      </c>
      <c r="E86" s="4">
        <v>229</v>
      </c>
      <c r="F86" s="4">
        <f>ROUND(Source!AZ75,O86)</f>
        <v>0</v>
      </c>
      <c r="G86" s="4" t="s">
        <v>159</v>
      </c>
      <c r="H86" s="4" t="s">
        <v>160</v>
      </c>
      <c r="I86" s="4"/>
      <c r="J86" s="4"/>
      <c r="K86" s="4">
        <v>229</v>
      </c>
      <c r="L86" s="4">
        <v>10</v>
      </c>
      <c r="M86" s="4">
        <v>3</v>
      </c>
      <c r="N86" s="4" t="s">
        <v>6</v>
      </c>
      <c r="O86" s="4">
        <v>2</v>
      </c>
      <c r="P86" s="4"/>
      <c r="Q86" s="4"/>
      <c r="R86" s="4"/>
      <c r="S86" s="4"/>
      <c r="T86" s="4"/>
      <c r="U86" s="4"/>
      <c r="V86" s="4"/>
      <c r="W86" s="4">
        <v>0</v>
      </c>
      <c r="X86" s="4">
        <v>1</v>
      </c>
      <c r="Y86" s="4">
        <v>0</v>
      </c>
      <c r="Z86" s="4"/>
      <c r="AA86" s="4"/>
      <c r="AB86" s="4"/>
      <c r="IF86">
        <v>-1</v>
      </c>
    </row>
    <row r="87" spans="1:240" x14ac:dyDescent="0.2">
      <c r="A87" s="4">
        <v>50</v>
      </c>
      <c r="B87" s="4">
        <v>0</v>
      </c>
      <c r="C87" s="4">
        <v>0</v>
      </c>
      <c r="D87" s="4">
        <v>1</v>
      </c>
      <c r="E87" s="4">
        <v>203</v>
      </c>
      <c r="F87" s="4" t="e">
        <f>ROUND(Source!Q75,O87)</f>
        <v>#REF!</v>
      </c>
      <c r="G87" s="4" t="s">
        <v>161</v>
      </c>
      <c r="H87" s="4" t="s">
        <v>162</v>
      </c>
      <c r="I87" s="4"/>
      <c r="J87" s="4"/>
      <c r="K87" s="4">
        <v>203</v>
      </c>
      <c r="L87" s="4">
        <v>11</v>
      </c>
      <c r="M87" s="4">
        <v>3</v>
      </c>
      <c r="N87" s="4" t="s">
        <v>6</v>
      </c>
      <c r="O87" s="4">
        <v>2</v>
      </c>
      <c r="P87" s="4"/>
      <c r="Q87" s="4"/>
      <c r="R87" s="4"/>
      <c r="S87" s="4"/>
      <c r="T87" s="4"/>
      <c r="U87" s="4"/>
      <c r="V87" s="4"/>
      <c r="W87" s="4">
        <v>138913.20000000001</v>
      </c>
      <c r="X87" s="4">
        <v>1</v>
      </c>
      <c r="Y87" s="4">
        <v>138913.20000000001</v>
      </c>
      <c r="Z87" s="4"/>
      <c r="AA87" s="4"/>
      <c r="AB87" s="4"/>
      <c r="IF87">
        <v>-1</v>
      </c>
    </row>
    <row r="88" spans="1:240" x14ac:dyDescent="0.2">
      <c r="A88" s="4">
        <v>50</v>
      </c>
      <c r="B88" s="4">
        <v>0</v>
      </c>
      <c r="C88" s="4">
        <v>0</v>
      </c>
      <c r="D88" s="4">
        <v>1</v>
      </c>
      <c r="E88" s="4">
        <v>231</v>
      </c>
      <c r="F88" s="4">
        <f>ROUND(Source!BB75,O88)</f>
        <v>0</v>
      </c>
      <c r="G88" s="4" t="s">
        <v>163</v>
      </c>
      <c r="H88" s="4" t="s">
        <v>164</v>
      </c>
      <c r="I88" s="4"/>
      <c r="J88" s="4"/>
      <c r="K88" s="4">
        <v>231</v>
      </c>
      <c r="L88" s="4">
        <v>12</v>
      </c>
      <c r="M88" s="4">
        <v>3</v>
      </c>
      <c r="N88" s="4" t="s">
        <v>6</v>
      </c>
      <c r="O88" s="4">
        <v>2</v>
      </c>
      <c r="P88" s="4"/>
      <c r="Q88" s="4"/>
      <c r="R88" s="4"/>
      <c r="S88" s="4"/>
      <c r="T88" s="4"/>
      <c r="U88" s="4"/>
      <c r="V88" s="4"/>
      <c r="W88" s="4">
        <v>0</v>
      </c>
      <c r="X88" s="4">
        <v>1</v>
      </c>
      <c r="Y88" s="4">
        <v>0</v>
      </c>
      <c r="Z88" s="4"/>
      <c r="AA88" s="4"/>
      <c r="AB88" s="4"/>
      <c r="IF88">
        <v>-1</v>
      </c>
    </row>
    <row r="89" spans="1:240" x14ac:dyDescent="0.2">
      <c r="A89" s="4">
        <v>50</v>
      </c>
      <c r="B89" s="4">
        <v>0</v>
      </c>
      <c r="C89" s="4">
        <v>0</v>
      </c>
      <c r="D89" s="4">
        <v>1</v>
      </c>
      <c r="E89" s="4">
        <v>204</v>
      </c>
      <c r="F89" s="4" t="e">
        <f>ROUND(Source!R75,O89)</f>
        <v>#REF!</v>
      </c>
      <c r="G89" s="4" t="s">
        <v>165</v>
      </c>
      <c r="H89" s="4" t="s">
        <v>166</v>
      </c>
      <c r="I89" s="4"/>
      <c r="J89" s="4"/>
      <c r="K89" s="4">
        <v>204</v>
      </c>
      <c r="L89" s="4">
        <v>13</v>
      </c>
      <c r="M89" s="4">
        <v>3</v>
      </c>
      <c r="N89" s="4" t="s">
        <v>6</v>
      </c>
      <c r="O89" s="4">
        <v>2</v>
      </c>
      <c r="P89" s="4"/>
      <c r="Q89" s="4"/>
      <c r="R89" s="4"/>
      <c r="S89" s="4"/>
      <c r="T89" s="4"/>
      <c r="U89" s="4"/>
      <c r="V89" s="4"/>
      <c r="W89" s="4">
        <v>59633.31</v>
      </c>
      <c r="X89" s="4">
        <v>1</v>
      </c>
      <c r="Y89" s="4">
        <v>59633.31</v>
      </c>
      <c r="Z89" s="4"/>
      <c r="AA89" s="4"/>
      <c r="AB89" s="4"/>
      <c r="IF89">
        <v>-1</v>
      </c>
    </row>
    <row r="90" spans="1:240" x14ac:dyDescent="0.2">
      <c r="A90" s="4">
        <v>50</v>
      </c>
      <c r="B90" s="4">
        <v>0</v>
      </c>
      <c r="C90" s="4">
        <v>0</v>
      </c>
      <c r="D90" s="4">
        <v>1</v>
      </c>
      <c r="E90" s="4">
        <v>205</v>
      </c>
      <c r="F90" s="4" t="e">
        <f>ROUND(Source!S75,O90)</f>
        <v>#REF!</v>
      </c>
      <c r="G90" s="4" t="s">
        <v>167</v>
      </c>
      <c r="H90" s="4" t="s">
        <v>168</v>
      </c>
      <c r="I90" s="4"/>
      <c r="J90" s="4"/>
      <c r="K90" s="4">
        <v>205</v>
      </c>
      <c r="L90" s="4">
        <v>14</v>
      </c>
      <c r="M90" s="4">
        <v>3</v>
      </c>
      <c r="N90" s="4" t="s">
        <v>6</v>
      </c>
      <c r="O90" s="4">
        <v>2</v>
      </c>
      <c r="P90" s="4"/>
      <c r="Q90" s="4"/>
      <c r="R90" s="4"/>
      <c r="S90" s="4"/>
      <c r="T90" s="4"/>
      <c r="U90" s="4"/>
      <c r="V90" s="4"/>
      <c r="W90" s="4">
        <v>292016.26</v>
      </c>
      <c r="X90" s="4">
        <v>1</v>
      </c>
      <c r="Y90" s="4">
        <v>292016.26</v>
      </c>
      <c r="Z90" s="4"/>
      <c r="AA90" s="4"/>
      <c r="AB90" s="4"/>
      <c r="IF90">
        <v>-1</v>
      </c>
    </row>
    <row r="91" spans="1:240" x14ac:dyDescent="0.2">
      <c r="A91" s="4">
        <v>50</v>
      </c>
      <c r="B91" s="4">
        <v>0</v>
      </c>
      <c r="C91" s="4">
        <v>0</v>
      </c>
      <c r="D91" s="4">
        <v>1</v>
      </c>
      <c r="E91" s="4">
        <v>232</v>
      </c>
      <c r="F91" s="4">
        <f>ROUND(Source!BC75,O91)</f>
        <v>0</v>
      </c>
      <c r="G91" s="4" t="s">
        <v>169</v>
      </c>
      <c r="H91" s="4" t="s">
        <v>170</v>
      </c>
      <c r="I91" s="4"/>
      <c r="J91" s="4"/>
      <c r="K91" s="4">
        <v>232</v>
      </c>
      <c r="L91" s="4">
        <v>15</v>
      </c>
      <c r="M91" s="4">
        <v>3</v>
      </c>
      <c r="N91" s="4" t="s">
        <v>6</v>
      </c>
      <c r="O91" s="4">
        <v>2</v>
      </c>
      <c r="P91" s="4"/>
      <c r="Q91" s="4"/>
      <c r="R91" s="4"/>
      <c r="S91" s="4"/>
      <c r="T91" s="4"/>
      <c r="U91" s="4"/>
      <c r="V91" s="4"/>
      <c r="W91" s="4">
        <v>0</v>
      </c>
      <c r="X91" s="4">
        <v>1</v>
      </c>
      <c r="Y91" s="4">
        <v>0</v>
      </c>
      <c r="Z91" s="4"/>
      <c r="AA91" s="4"/>
      <c r="AB91" s="4"/>
      <c r="IF91">
        <v>-1</v>
      </c>
    </row>
    <row r="92" spans="1:240" x14ac:dyDescent="0.2">
      <c r="A92" s="4">
        <v>50</v>
      </c>
      <c r="B92" s="4">
        <v>0</v>
      </c>
      <c r="C92" s="4">
        <v>0</v>
      </c>
      <c r="D92" s="4">
        <v>1</v>
      </c>
      <c r="E92" s="4">
        <v>214</v>
      </c>
      <c r="F92" s="4" t="e">
        <f>ROUND(Source!AS75,O92)</f>
        <v>#REF!</v>
      </c>
      <c r="G92" s="4" t="s">
        <v>171</v>
      </c>
      <c r="H92" s="4" t="s">
        <v>172</v>
      </c>
      <c r="I92" s="4"/>
      <c r="J92" s="4"/>
      <c r="K92" s="4">
        <v>214</v>
      </c>
      <c r="L92" s="4">
        <v>16</v>
      </c>
      <c r="M92" s="4">
        <v>3</v>
      </c>
      <c r="N92" s="4" t="s">
        <v>6</v>
      </c>
      <c r="O92" s="4">
        <v>2</v>
      </c>
      <c r="P92" s="4"/>
      <c r="Q92" s="4"/>
      <c r="R92" s="4"/>
      <c r="S92" s="4"/>
      <c r="T92" s="4"/>
      <c r="U92" s="4"/>
      <c r="V92" s="4"/>
      <c r="W92" s="4">
        <v>2610115.7200000002</v>
      </c>
      <c r="X92" s="4">
        <v>1</v>
      </c>
      <c r="Y92" s="4">
        <v>2610115.7200000002</v>
      </c>
      <c r="Z92" s="4"/>
      <c r="AA92" s="4"/>
      <c r="AB92" s="4"/>
      <c r="IF92">
        <v>-1</v>
      </c>
    </row>
    <row r="93" spans="1:240" x14ac:dyDescent="0.2">
      <c r="A93" s="4">
        <v>50</v>
      </c>
      <c r="B93" s="4">
        <v>0</v>
      </c>
      <c r="C93" s="4">
        <v>0</v>
      </c>
      <c r="D93" s="4">
        <v>1</v>
      </c>
      <c r="E93" s="4">
        <v>215</v>
      </c>
      <c r="F93" s="4" t="e">
        <f>ROUND(Source!AT75,O93)</f>
        <v>#REF!</v>
      </c>
      <c r="G93" s="4" t="s">
        <v>173</v>
      </c>
      <c r="H93" s="4" t="s">
        <v>174</v>
      </c>
      <c r="I93" s="4"/>
      <c r="J93" s="4"/>
      <c r="K93" s="4">
        <v>215</v>
      </c>
      <c r="L93" s="4">
        <v>17</v>
      </c>
      <c r="M93" s="4">
        <v>3</v>
      </c>
      <c r="N93" s="4" t="s">
        <v>6</v>
      </c>
      <c r="O93" s="4">
        <v>2</v>
      </c>
      <c r="P93" s="4"/>
      <c r="Q93" s="4"/>
      <c r="R93" s="4"/>
      <c r="S93" s="4"/>
      <c r="T93" s="4"/>
      <c r="U93" s="4"/>
      <c r="V93" s="4"/>
      <c r="W93" s="4">
        <v>2000803.75</v>
      </c>
      <c r="X93" s="4">
        <v>1</v>
      </c>
      <c r="Y93" s="4">
        <v>2000803.75</v>
      </c>
      <c r="Z93" s="4"/>
      <c r="AA93" s="4"/>
      <c r="AB93" s="4"/>
      <c r="IF93">
        <v>-1</v>
      </c>
    </row>
    <row r="94" spans="1:240" x14ac:dyDescent="0.2">
      <c r="A94" s="4">
        <v>50</v>
      </c>
      <c r="B94" s="4">
        <v>0</v>
      </c>
      <c r="C94" s="4">
        <v>0</v>
      </c>
      <c r="D94" s="4">
        <v>1</v>
      </c>
      <c r="E94" s="4">
        <v>217</v>
      </c>
      <c r="F94" s="4" t="e">
        <f>ROUND(Source!AU75,O94)</f>
        <v>#REF!</v>
      </c>
      <c r="G94" s="4" t="s">
        <v>175</v>
      </c>
      <c r="H94" s="4" t="s">
        <v>176</v>
      </c>
      <c r="I94" s="4"/>
      <c r="J94" s="4"/>
      <c r="K94" s="4">
        <v>217</v>
      </c>
      <c r="L94" s="4">
        <v>18</v>
      </c>
      <c r="M94" s="4">
        <v>3</v>
      </c>
      <c r="N94" s="4" t="s">
        <v>6</v>
      </c>
      <c r="O94" s="4">
        <v>2</v>
      </c>
      <c r="P94" s="4"/>
      <c r="Q94" s="4"/>
      <c r="R94" s="4"/>
      <c r="S94" s="4"/>
      <c r="T94" s="4"/>
      <c r="U94" s="4"/>
      <c r="V94" s="4"/>
      <c r="W94" s="4">
        <v>180490.28</v>
      </c>
      <c r="X94" s="4">
        <v>1</v>
      </c>
      <c r="Y94" s="4">
        <v>180490.28</v>
      </c>
      <c r="Z94" s="4"/>
      <c r="AA94" s="4"/>
      <c r="AB94" s="4"/>
      <c r="IF94">
        <v>-1</v>
      </c>
    </row>
    <row r="95" spans="1:240" x14ac:dyDescent="0.2">
      <c r="A95" s="4">
        <v>50</v>
      </c>
      <c r="B95" s="4">
        <v>0</v>
      </c>
      <c r="C95" s="4">
        <v>0</v>
      </c>
      <c r="D95" s="4">
        <v>1</v>
      </c>
      <c r="E95" s="4">
        <v>230</v>
      </c>
      <c r="F95" s="4" t="e">
        <f>ROUND(Source!BA75,O95)</f>
        <v>#REF!</v>
      </c>
      <c r="G95" s="4" t="s">
        <v>177</v>
      </c>
      <c r="H95" s="4" t="s">
        <v>178</v>
      </c>
      <c r="I95" s="4"/>
      <c r="J95" s="4"/>
      <c r="K95" s="4">
        <v>230</v>
      </c>
      <c r="L95" s="4">
        <v>19</v>
      </c>
      <c r="M95" s="4">
        <v>3</v>
      </c>
      <c r="N95" s="4" t="s">
        <v>6</v>
      </c>
      <c r="O95" s="4">
        <v>2</v>
      </c>
      <c r="P95" s="4"/>
      <c r="Q95" s="4"/>
      <c r="R95" s="4"/>
      <c r="S95" s="4"/>
      <c r="T95" s="4"/>
      <c r="U95" s="4"/>
      <c r="V95" s="4"/>
      <c r="W95" s="4">
        <v>0</v>
      </c>
      <c r="X95" s="4">
        <v>1</v>
      </c>
      <c r="Y95" s="4">
        <v>0</v>
      </c>
      <c r="Z95" s="4"/>
      <c r="AA95" s="4"/>
      <c r="AB95" s="4"/>
      <c r="IF95">
        <v>-1</v>
      </c>
    </row>
    <row r="96" spans="1:240" x14ac:dyDescent="0.2">
      <c r="A96" s="4">
        <v>50</v>
      </c>
      <c r="B96" s="4">
        <v>0</v>
      </c>
      <c r="C96" s="4">
        <v>0</v>
      </c>
      <c r="D96" s="4">
        <v>1</v>
      </c>
      <c r="E96" s="4">
        <v>206</v>
      </c>
      <c r="F96" s="4" t="e">
        <f>ROUND(Source!T75,O96)</f>
        <v>#REF!</v>
      </c>
      <c r="G96" s="4" t="s">
        <v>179</v>
      </c>
      <c r="H96" s="4" t="s">
        <v>180</v>
      </c>
      <c r="I96" s="4"/>
      <c r="J96" s="4"/>
      <c r="K96" s="4">
        <v>206</v>
      </c>
      <c r="L96" s="4">
        <v>20</v>
      </c>
      <c r="M96" s="4">
        <v>3</v>
      </c>
      <c r="N96" s="4" t="s">
        <v>6</v>
      </c>
      <c r="O96" s="4">
        <v>2</v>
      </c>
      <c r="P96" s="4"/>
      <c r="Q96" s="4"/>
      <c r="R96" s="4"/>
      <c r="S96" s="4"/>
      <c r="T96" s="4"/>
      <c r="U96" s="4"/>
      <c r="V96" s="4"/>
      <c r="W96" s="4">
        <v>0</v>
      </c>
      <c r="X96" s="4">
        <v>1</v>
      </c>
      <c r="Y96" s="4">
        <v>0</v>
      </c>
      <c r="Z96" s="4"/>
      <c r="AA96" s="4"/>
      <c r="AB96" s="4"/>
      <c r="IF96">
        <v>-1</v>
      </c>
    </row>
    <row r="97" spans="1:240" x14ac:dyDescent="0.2">
      <c r="A97" s="4">
        <v>50</v>
      </c>
      <c r="B97" s="4">
        <v>0</v>
      </c>
      <c r="C97" s="4">
        <v>0</v>
      </c>
      <c r="D97" s="4">
        <v>1</v>
      </c>
      <c r="E97" s="4">
        <v>207</v>
      </c>
      <c r="F97" s="4" t="e">
        <f>ROUND(Source!U75,O97)</f>
        <v>#REF!</v>
      </c>
      <c r="G97" s="4" t="s">
        <v>181</v>
      </c>
      <c r="H97" s="4" t="s">
        <v>182</v>
      </c>
      <c r="I97" s="4"/>
      <c r="J97" s="4"/>
      <c r="K97" s="4">
        <v>207</v>
      </c>
      <c r="L97" s="4">
        <v>21</v>
      </c>
      <c r="M97" s="4">
        <v>3</v>
      </c>
      <c r="N97" s="4" t="s">
        <v>6</v>
      </c>
      <c r="O97" s="4">
        <v>7</v>
      </c>
      <c r="P97" s="4"/>
      <c r="Q97" s="4"/>
      <c r="R97" s="4"/>
      <c r="S97" s="4"/>
      <c r="T97" s="4"/>
      <c r="U97" s="4"/>
      <c r="V97" s="4"/>
      <c r="W97" s="4">
        <v>876.67541419999998</v>
      </c>
      <c r="X97" s="4">
        <v>1</v>
      </c>
      <c r="Y97" s="4">
        <v>876.67541419999998</v>
      </c>
      <c r="Z97" s="4"/>
      <c r="AA97" s="4"/>
      <c r="AB97" s="4"/>
      <c r="IF97">
        <v>-1</v>
      </c>
    </row>
    <row r="98" spans="1:240" x14ac:dyDescent="0.2">
      <c r="A98" s="4">
        <v>50</v>
      </c>
      <c r="B98" s="4">
        <v>0</v>
      </c>
      <c r="C98" s="4">
        <v>0</v>
      </c>
      <c r="D98" s="4">
        <v>1</v>
      </c>
      <c r="E98" s="4">
        <v>208</v>
      </c>
      <c r="F98" s="4" t="e">
        <f>ROUND(Source!V75,O98)</f>
        <v>#REF!</v>
      </c>
      <c r="G98" s="4" t="s">
        <v>183</v>
      </c>
      <c r="H98" s="4" t="s">
        <v>184</v>
      </c>
      <c r="I98" s="4"/>
      <c r="J98" s="4"/>
      <c r="K98" s="4">
        <v>208</v>
      </c>
      <c r="L98" s="4">
        <v>22</v>
      </c>
      <c r="M98" s="4">
        <v>3</v>
      </c>
      <c r="N98" s="4" t="s">
        <v>6</v>
      </c>
      <c r="O98" s="4">
        <v>7</v>
      </c>
      <c r="P98" s="4"/>
      <c r="Q98" s="4"/>
      <c r="R98" s="4"/>
      <c r="S98" s="4"/>
      <c r="T98" s="4"/>
      <c r="U98" s="4"/>
      <c r="V98" s="4"/>
      <c r="W98" s="4">
        <v>132.107102</v>
      </c>
      <c r="X98" s="4">
        <v>1</v>
      </c>
      <c r="Y98" s="4">
        <v>132.107102</v>
      </c>
      <c r="Z98" s="4"/>
      <c r="AA98" s="4"/>
      <c r="AB98" s="4"/>
      <c r="IF98">
        <v>-1</v>
      </c>
    </row>
    <row r="99" spans="1:240" x14ac:dyDescent="0.2">
      <c r="A99" s="4">
        <v>50</v>
      </c>
      <c r="B99" s="4">
        <v>0</v>
      </c>
      <c r="C99" s="4">
        <v>0</v>
      </c>
      <c r="D99" s="4">
        <v>1</v>
      </c>
      <c r="E99" s="4">
        <v>209</v>
      </c>
      <c r="F99" s="4" t="e">
        <f>ROUND(Source!W75,O99)</f>
        <v>#REF!</v>
      </c>
      <c r="G99" s="4" t="s">
        <v>185</v>
      </c>
      <c r="H99" s="4" t="s">
        <v>186</v>
      </c>
      <c r="I99" s="4"/>
      <c r="J99" s="4"/>
      <c r="K99" s="4">
        <v>209</v>
      </c>
      <c r="L99" s="4">
        <v>23</v>
      </c>
      <c r="M99" s="4">
        <v>3</v>
      </c>
      <c r="N99" s="4" t="s">
        <v>6</v>
      </c>
      <c r="O99" s="4">
        <v>2</v>
      </c>
      <c r="P99" s="4"/>
      <c r="Q99" s="4"/>
      <c r="R99" s="4"/>
      <c r="S99" s="4"/>
      <c r="T99" s="4"/>
      <c r="U99" s="4"/>
      <c r="V99" s="4"/>
      <c r="W99" s="4">
        <v>0</v>
      </c>
      <c r="X99" s="4">
        <v>1</v>
      </c>
      <c r="Y99" s="4">
        <v>0</v>
      </c>
      <c r="Z99" s="4"/>
      <c r="AA99" s="4"/>
      <c r="AB99" s="4"/>
      <c r="IF99">
        <v>-1</v>
      </c>
    </row>
    <row r="100" spans="1:240" x14ac:dyDescent="0.2">
      <c r="A100" s="4">
        <v>50</v>
      </c>
      <c r="B100" s="4">
        <v>0</v>
      </c>
      <c r="C100" s="4">
        <v>0</v>
      </c>
      <c r="D100" s="4">
        <v>1</v>
      </c>
      <c r="E100" s="4">
        <v>233</v>
      </c>
      <c r="F100" s="4">
        <f>ROUND(Source!BD75,O100)</f>
        <v>0</v>
      </c>
      <c r="G100" s="4" t="s">
        <v>187</v>
      </c>
      <c r="H100" s="4" t="s">
        <v>188</v>
      </c>
      <c r="I100" s="4"/>
      <c r="J100" s="4"/>
      <c r="K100" s="4">
        <v>233</v>
      </c>
      <c r="L100" s="4">
        <v>24</v>
      </c>
      <c r="M100" s="4">
        <v>3</v>
      </c>
      <c r="N100" s="4" t="s">
        <v>6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0</v>
      </c>
      <c r="X100" s="4">
        <v>1</v>
      </c>
      <c r="Y100" s="4">
        <v>0</v>
      </c>
      <c r="Z100" s="4"/>
      <c r="AA100" s="4"/>
      <c r="AB100" s="4"/>
      <c r="IF100">
        <v>-1</v>
      </c>
    </row>
    <row r="101" spans="1:240" x14ac:dyDescent="0.2">
      <c r="A101" s="4">
        <v>50</v>
      </c>
      <c r="B101" s="4">
        <v>0</v>
      </c>
      <c r="C101" s="4">
        <v>0</v>
      </c>
      <c r="D101" s="4">
        <v>1</v>
      </c>
      <c r="E101" s="4">
        <v>210</v>
      </c>
      <c r="F101" s="4" t="e">
        <f>ROUND(Source!X75,O101)</f>
        <v>#REF!</v>
      </c>
      <c r="G101" s="4" t="s">
        <v>189</v>
      </c>
      <c r="H101" s="4" t="s">
        <v>190</v>
      </c>
      <c r="I101" s="4"/>
      <c r="J101" s="4"/>
      <c r="K101" s="4">
        <v>210</v>
      </c>
      <c r="L101" s="4">
        <v>25</v>
      </c>
      <c r="M101" s="4">
        <v>3</v>
      </c>
      <c r="N101" s="4" t="s">
        <v>6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337496.92</v>
      </c>
      <c r="X101" s="4">
        <v>1</v>
      </c>
      <c r="Y101" s="4">
        <v>337496.92</v>
      </c>
      <c r="Z101" s="4"/>
      <c r="AA101" s="4"/>
      <c r="AB101" s="4"/>
      <c r="IF101">
        <v>-1</v>
      </c>
    </row>
    <row r="102" spans="1:240" x14ac:dyDescent="0.2">
      <c r="A102" s="4">
        <v>50</v>
      </c>
      <c r="B102" s="4">
        <v>0</v>
      </c>
      <c r="C102" s="4">
        <v>0</v>
      </c>
      <c r="D102" s="4">
        <v>1</v>
      </c>
      <c r="E102" s="4">
        <v>211</v>
      </c>
      <c r="F102" s="4" t="e">
        <f>ROUND(Source!Y75,O102)</f>
        <v>#REF!</v>
      </c>
      <c r="G102" s="4" t="s">
        <v>191</v>
      </c>
      <c r="H102" s="4" t="s">
        <v>192</v>
      </c>
      <c r="I102" s="4"/>
      <c r="J102" s="4"/>
      <c r="K102" s="4">
        <v>211</v>
      </c>
      <c r="L102" s="4">
        <v>26</v>
      </c>
      <c r="M102" s="4">
        <v>3</v>
      </c>
      <c r="N102" s="4" t="s">
        <v>6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175174.61</v>
      </c>
      <c r="X102" s="4">
        <v>1</v>
      </c>
      <c r="Y102" s="4">
        <v>175174.61</v>
      </c>
      <c r="Z102" s="4"/>
      <c r="AA102" s="4"/>
      <c r="AB102" s="4"/>
      <c r="IF102">
        <v>-1</v>
      </c>
    </row>
    <row r="103" spans="1:240" x14ac:dyDescent="0.2">
      <c r="A103" s="4">
        <v>50</v>
      </c>
      <c r="B103" s="4">
        <v>0</v>
      </c>
      <c r="C103" s="4">
        <v>0</v>
      </c>
      <c r="D103" s="4">
        <v>1</v>
      </c>
      <c r="E103" s="4">
        <v>224</v>
      </c>
      <c r="F103" s="4" t="e">
        <f>ROUND(Source!AR75,O103)</f>
        <v>#REF!</v>
      </c>
      <c r="G103" s="4" t="s">
        <v>193</v>
      </c>
      <c r="H103" s="4" t="s">
        <v>194</v>
      </c>
      <c r="I103" s="4"/>
      <c r="J103" s="4"/>
      <c r="K103" s="4">
        <v>224</v>
      </c>
      <c r="L103" s="4">
        <v>27</v>
      </c>
      <c r="M103" s="4">
        <v>3</v>
      </c>
      <c r="N103" s="4" t="s">
        <v>6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4791409.75</v>
      </c>
      <c r="X103" s="4">
        <v>1</v>
      </c>
      <c r="Y103" s="4">
        <v>4791409.75</v>
      </c>
      <c r="Z103" s="4"/>
      <c r="AA103" s="4"/>
      <c r="AB103" s="4"/>
      <c r="IF103">
        <v>-1</v>
      </c>
    </row>
    <row r="104" spans="1:240" x14ac:dyDescent="0.2">
      <c r="IF104">
        <v>-1</v>
      </c>
    </row>
    <row r="105" spans="1:240" x14ac:dyDescent="0.2">
      <c r="IF105">
        <v>-1</v>
      </c>
    </row>
    <row r="106" spans="1:240" x14ac:dyDescent="0.2">
      <c r="A106">
        <v>70</v>
      </c>
      <c r="B106">
        <v>1</v>
      </c>
      <c r="D106">
        <v>1</v>
      </c>
      <c r="E106" t="s">
        <v>195</v>
      </c>
      <c r="F106" t="s">
        <v>196</v>
      </c>
      <c r="G106">
        <v>1</v>
      </c>
      <c r="H106">
        <v>0</v>
      </c>
      <c r="I106" t="s">
        <v>6</v>
      </c>
      <c r="J106">
        <v>1</v>
      </c>
      <c r="K106">
        <v>0</v>
      </c>
      <c r="L106" t="s">
        <v>6</v>
      </c>
      <c r="M106" t="s">
        <v>6</v>
      </c>
      <c r="N106">
        <v>0</v>
      </c>
      <c r="P106" t="s">
        <v>197</v>
      </c>
      <c r="IF106">
        <v>-1</v>
      </c>
    </row>
    <row r="107" spans="1:240" x14ac:dyDescent="0.2">
      <c r="A107">
        <v>70</v>
      </c>
      <c r="B107">
        <v>1</v>
      </c>
      <c r="D107">
        <v>2</v>
      </c>
      <c r="E107" t="s">
        <v>198</v>
      </c>
      <c r="F107" t="s">
        <v>199</v>
      </c>
      <c r="G107">
        <v>0</v>
      </c>
      <c r="H107">
        <v>0</v>
      </c>
      <c r="I107" t="s">
        <v>6</v>
      </c>
      <c r="J107">
        <v>1</v>
      </c>
      <c r="K107">
        <v>0</v>
      </c>
      <c r="L107" t="s">
        <v>6</v>
      </c>
      <c r="M107" t="s">
        <v>6</v>
      </c>
      <c r="N107">
        <v>0</v>
      </c>
      <c r="P107" t="s">
        <v>200</v>
      </c>
      <c r="IF107">
        <v>-1</v>
      </c>
    </row>
    <row r="108" spans="1:240" x14ac:dyDescent="0.2">
      <c r="A108">
        <v>70</v>
      </c>
      <c r="B108">
        <v>1</v>
      </c>
      <c r="D108">
        <v>3</v>
      </c>
      <c r="E108" t="s">
        <v>201</v>
      </c>
      <c r="F108" t="s">
        <v>202</v>
      </c>
      <c r="G108">
        <v>0</v>
      </c>
      <c r="H108">
        <v>0</v>
      </c>
      <c r="I108" t="s">
        <v>6</v>
      </c>
      <c r="J108">
        <v>1</v>
      </c>
      <c r="K108">
        <v>0</v>
      </c>
      <c r="L108" t="s">
        <v>6</v>
      </c>
      <c r="M108" t="s">
        <v>6</v>
      </c>
      <c r="N108">
        <v>0</v>
      </c>
      <c r="P108" t="s">
        <v>203</v>
      </c>
      <c r="IF108">
        <v>-1</v>
      </c>
    </row>
    <row r="109" spans="1:240" x14ac:dyDescent="0.2">
      <c r="A109">
        <v>70</v>
      </c>
      <c r="B109">
        <v>1</v>
      </c>
      <c r="D109">
        <v>4</v>
      </c>
      <c r="E109" t="s">
        <v>204</v>
      </c>
      <c r="F109" t="s">
        <v>205</v>
      </c>
      <c r="G109">
        <v>1</v>
      </c>
      <c r="H109">
        <v>0</v>
      </c>
      <c r="I109" t="s">
        <v>6</v>
      </c>
      <c r="J109">
        <v>2</v>
      </c>
      <c r="K109">
        <v>0</v>
      </c>
      <c r="L109" t="s">
        <v>6</v>
      </c>
      <c r="M109" t="s">
        <v>6</v>
      </c>
      <c r="N109">
        <v>0</v>
      </c>
      <c r="P109" t="s">
        <v>6</v>
      </c>
      <c r="IF109">
        <v>-1</v>
      </c>
    </row>
    <row r="110" spans="1:240" x14ac:dyDescent="0.2">
      <c r="A110">
        <v>70</v>
      </c>
      <c r="B110">
        <v>1</v>
      </c>
      <c r="D110">
        <v>5</v>
      </c>
      <c r="E110" t="s">
        <v>206</v>
      </c>
      <c r="F110" t="s">
        <v>207</v>
      </c>
      <c r="G110">
        <v>0</v>
      </c>
      <c r="H110">
        <v>0</v>
      </c>
      <c r="I110" t="s">
        <v>6</v>
      </c>
      <c r="J110">
        <v>2</v>
      </c>
      <c r="K110">
        <v>0</v>
      </c>
      <c r="L110" t="s">
        <v>6</v>
      </c>
      <c r="M110" t="s">
        <v>6</v>
      </c>
      <c r="N110">
        <v>0</v>
      </c>
      <c r="P110" t="s">
        <v>6</v>
      </c>
      <c r="IF110">
        <v>-1</v>
      </c>
    </row>
    <row r="111" spans="1:240" x14ac:dyDescent="0.2">
      <c r="A111">
        <v>70</v>
      </c>
      <c r="B111">
        <v>1</v>
      </c>
      <c r="D111">
        <v>6</v>
      </c>
      <c r="E111" t="s">
        <v>208</v>
      </c>
      <c r="F111" t="s">
        <v>209</v>
      </c>
      <c r="G111">
        <v>0</v>
      </c>
      <c r="H111">
        <v>0</v>
      </c>
      <c r="I111" t="s">
        <v>6</v>
      </c>
      <c r="J111">
        <v>2</v>
      </c>
      <c r="K111">
        <v>0</v>
      </c>
      <c r="L111" t="s">
        <v>6</v>
      </c>
      <c r="M111" t="s">
        <v>6</v>
      </c>
      <c r="N111">
        <v>0</v>
      </c>
      <c r="P111" t="s">
        <v>6</v>
      </c>
      <c r="IF111">
        <v>-1</v>
      </c>
    </row>
    <row r="112" spans="1:240" x14ac:dyDescent="0.2">
      <c r="A112">
        <v>70</v>
      </c>
      <c r="B112">
        <v>1</v>
      </c>
      <c r="D112">
        <v>7</v>
      </c>
      <c r="E112" t="s">
        <v>210</v>
      </c>
      <c r="F112" t="s">
        <v>211</v>
      </c>
      <c r="G112">
        <v>0</v>
      </c>
      <c r="H112">
        <v>0</v>
      </c>
      <c r="I112" t="s">
        <v>212</v>
      </c>
      <c r="J112">
        <v>0</v>
      </c>
      <c r="K112">
        <v>0</v>
      </c>
      <c r="L112" t="s">
        <v>6</v>
      </c>
      <c r="M112" t="s">
        <v>6</v>
      </c>
      <c r="N112">
        <v>0</v>
      </c>
      <c r="P112" t="s">
        <v>213</v>
      </c>
      <c r="IF112">
        <v>-1</v>
      </c>
    </row>
    <row r="113" spans="1:240" x14ac:dyDescent="0.2">
      <c r="A113">
        <v>70</v>
      </c>
      <c r="B113">
        <v>1</v>
      </c>
      <c r="D113">
        <v>8</v>
      </c>
      <c r="E113" t="s">
        <v>214</v>
      </c>
      <c r="F113" t="s">
        <v>215</v>
      </c>
      <c r="G113">
        <v>1</v>
      </c>
      <c r="H113">
        <v>0</v>
      </c>
      <c r="I113" t="s">
        <v>6</v>
      </c>
      <c r="J113">
        <v>5</v>
      </c>
      <c r="K113">
        <v>0</v>
      </c>
      <c r="L113" t="s">
        <v>6</v>
      </c>
      <c r="M113" t="s">
        <v>6</v>
      </c>
      <c r="N113">
        <v>0</v>
      </c>
      <c r="P113" t="s">
        <v>6</v>
      </c>
      <c r="IF113">
        <v>-1</v>
      </c>
    </row>
    <row r="114" spans="1:240" x14ac:dyDescent="0.2">
      <c r="A114">
        <v>70</v>
      </c>
      <c r="B114">
        <v>1</v>
      </c>
      <c r="D114">
        <v>9</v>
      </c>
      <c r="E114" t="s">
        <v>216</v>
      </c>
      <c r="F114" t="s">
        <v>217</v>
      </c>
      <c r="G114">
        <v>0</v>
      </c>
      <c r="H114">
        <v>0</v>
      </c>
      <c r="I114" t="s">
        <v>6</v>
      </c>
      <c r="J114">
        <v>5</v>
      </c>
      <c r="K114">
        <v>0</v>
      </c>
      <c r="L114" t="s">
        <v>6</v>
      </c>
      <c r="M114" t="s">
        <v>6</v>
      </c>
      <c r="N114">
        <v>0</v>
      </c>
      <c r="P114" t="s">
        <v>6</v>
      </c>
      <c r="IF114">
        <v>-1</v>
      </c>
    </row>
    <row r="115" spans="1:240" x14ac:dyDescent="0.2">
      <c r="A115">
        <v>70</v>
      </c>
      <c r="B115">
        <v>1</v>
      </c>
      <c r="D115">
        <v>10</v>
      </c>
      <c r="E115" t="s">
        <v>218</v>
      </c>
      <c r="F115" t="s">
        <v>219</v>
      </c>
      <c r="G115">
        <v>0</v>
      </c>
      <c r="H115">
        <v>0</v>
      </c>
      <c r="I115" t="s">
        <v>220</v>
      </c>
      <c r="J115">
        <v>5</v>
      </c>
      <c r="K115">
        <v>0</v>
      </c>
      <c r="L115" t="s">
        <v>6</v>
      </c>
      <c r="M115" t="s">
        <v>6</v>
      </c>
      <c r="N115">
        <v>0</v>
      </c>
      <c r="P115" t="s">
        <v>221</v>
      </c>
      <c r="IF115">
        <v>-1</v>
      </c>
    </row>
    <row r="116" spans="1:240" x14ac:dyDescent="0.2">
      <c r="A116">
        <v>70</v>
      </c>
      <c r="B116">
        <v>1</v>
      </c>
      <c r="D116">
        <v>11</v>
      </c>
      <c r="E116" t="s">
        <v>222</v>
      </c>
      <c r="F116" t="s">
        <v>223</v>
      </c>
      <c r="G116">
        <v>0</v>
      </c>
      <c r="H116">
        <v>0</v>
      </c>
      <c r="I116" t="s">
        <v>224</v>
      </c>
      <c r="J116">
        <v>0</v>
      </c>
      <c r="K116">
        <v>0</v>
      </c>
      <c r="L116" t="s">
        <v>6</v>
      </c>
      <c r="M116" t="s">
        <v>6</v>
      </c>
      <c r="N116">
        <v>0</v>
      </c>
      <c r="P116" t="s">
        <v>225</v>
      </c>
      <c r="IF116">
        <v>-1</v>
      </c>
    </row>
    <row r="117" spans="1:240" x14ac:dyDescent="0.2">
      <c r="A117">
        <v>70</v>
      </c>
      <c r="B117">
        <v>1</v>
      </c>
      <c r="D117">
        <v>12</v>
      </c>
      <c r="E117" t="s">
        <v>226</v>
      </c>
      <c r="F117" t="s">
        <v>227</v>
      </c>
      <c r="G117">
        <v>0</v>
      </c>
      <c r="H117">
        <v>0</v>
      </c>
      <c r="I117" t="s">
        <v>228</v>
      </c>
      <c r="J117">
        <v>0</v>
      </c>
      <c r="K117">
        <v>0</v>
      </c>
      <c r="L117" t="s">
        <v>6</v>
      </c>
      <c r="M117" t="s">
        <v>6</v>
      </c>
      <c r="N117">
        <v>0</v>
      </c>
      <c r="P117" t="s">
        <v>229</v>
      </c>
      <c r="IF117">
        <v>-1</v>
      </c>
    </row>
    <row r="118" spans="1:240" x14ac:dyDescent="0.2">
      <c r="A118">
        <v>70</v>
      </c>
      <c r="B118">
        <v>1</v>
      </c>
      <c r="D118">
        <v>13</v>
      </c>
      <c r="E118" t="s">
        <v>230</v>
      </c>
      <c r="F118" t="s">
        <v>231</v>
      </c>
      <c r="G118">
        <v>0</v>
      </c>
      <c r="H118">
        <v>0</v>
      </c>
      <c r="I118" t="s">
        <v>232</v>
      </c>
      <c r="J118">
        <v>0</v>
      </c>
      <c r="K118">
        <v>0</v>
      </c>
      <c r="L118" t="s">
        <v>6</v>
      </c>
      <c r="M118" t="s">
        <v>6</v>
      </c>
      <c r="N118">
        <v>0</v>
      </c>
      <c r="P118" t="s">
        <v>233</v>
      </c>
      <c r="IF118">
        <v>-1</v>
      </c>
    </row>
    <row r="119" spans="1:240" x14ac:dyDescent="0.2">
      <c r="A119">
        <v>70</v>
      </c>
      <c r="B119">
        <v>1</v>
      </c>
      <c r="D119">
        <v>14</v>
      </c>
      <c r="E119" t="s">
        <v>234</v>
      </c>
      <c r="F119" t="s">
        <v>235</v>
      </c>
      <c r="G119">
        <v>0</v>
      </c>
      <c r="H119">
        <v>0</v>
      </c>
      <c r="I119" t="s">
        <v>6</v>
      </c>
      <c r="J119">
        <v>0</v>
      </c>
      <c r="K119">
        <v>0</v>
      </c>
      <c r="L119" t="s">
        <v>6</v>
      </c>
      <c r="M119" t="s">
        <v>6</v>
      </c>
      <c r="N119">
        <v>0</v>
      </c>
      <c r="P119" t="s">
        <v>236</v>
      </c>
      <c r="IF119">
        <v>-1</v>
      </c>
    </row>
    <row r="120" spans="1:240" x14ac:dyDescent="0.2">
      <c r="A120">
        <v>70</v>
      </c>
      <c r="B120">
        <v>1</v>
      </c>
      <c r="D120">
        <v>15</v>
      </c>
      <c r="E120" t="s">
        <v>237</v>
      </c>
      <c r="F120" t="s">
        <v>238</v>
      </c>
      <c r="G120">
        <v>0</v>
      </c>
      <c r="H120">
        <v>0</v>
      </c>
      <c r="I120" t="s">
        <v>6</v>
      </c>
      <c r="J120">
        <v>3</v>
      </c>
      <c r="K120">
        <v>0</v>
      </c>
      <c r="L120" t="s">
        <v>6</v>
      </c>
      <c r="M120" t="s">
        <v>6</v>
      </c>
      <c r="N120">
        <v>0</v>
      </c>
      <c r="P120" t="s">
        <v>6</v>
      </c>
      <c r="IF120">
        <v>-1</v>
      </c>
    </row>
    <row r="121" spans="1:240" x14ac:dyDescent="0.2">
      <c r="A121">
        <v>70</v>
      </c>
      <c r="B121">
        <v>1</v>
      </c>
      <c r="D121">
        <v>16</v>
      </c>
      <c r="E121" t="s">
        <v>239</v>
      </c>
      <c r="F121" t="s">
        <v>240</v>
      </c>
      <c r="G121">
        <v>1</v>
      </c>
      <c r="H121">
        <v>0</v>
      </c>
      <c r="I121" t="s">
        <v>6</v>
      </c>
      <c r="J121">
        <v>3</v>
      </c>
      <c r="K121">
        <v>0</v>
      </c>
      <c r="L121" t="s">
        <v>6</v>
      </c>
      <c r="M121" t="s">
        <v>6</v>
      </c>
      <c r="N121">
        <v>0</v>
      </c>
      <c r="P121" t="s">
        <v>6</v>
      </c>
      <c r="IF121">
        <v>-1</v>
      </c>
    </row>
    <row r="122" spans="1:240" x14ac:dyDescent="0.2">
      <c r="A122">
        <v>70</v>
      </c>
      <c r="B122">
        <v>1</v>
      </c>
      <c r="D122">
        <v>1</v>
      </c>
      <c r="E122" t="s">
        <v>241</v>
      </c>
      <c r="F122" t="s">
        <v>242</v>
      </c>
      <c r="G122">
        <v>0.9</v>
      </c>
      <c r="H122">
        <v>1</v>
      </c>
      <c r="I122" t="s">
        <v>243</v>
      </c>
      <c r="J122">
        <v>0</v>
      </c>
      <c r="K122">
        <v>0</v>
      </c>
      <c r="L122" t="s">
        <v>6</v>
      </c>
      <c r="M122" t="s">
        <v>6</v>
      </c>
      <c r="N122">
        <v>0</v>
      </c>
      <c r="P122" t="s">
        <v>244</v>
      </c>
      <c r="IF122">
        <v>-1</v>
      </c>
    </row>
    <row r="123" spans="1:240" x14ac:dyDescent="0.2">
      <c r="A123">
        <v>70</v>
      </c>
      <c r="B123">
        <v>1</v>
      </c>
      <c r="D123">
        <v>2</v>
      </c>
      <c r="E123" t="s">
        <v>245</v>
      </c>
      <c r="F123" t="s">
        <v>246</v>
      </c>
      <c r="G123">
        <v>0.85</v>
      </c>
      <c r="H123">
        <v>1</v>
      </c>
      <c r="I123" t="s">
        <v>247</v>
      </c>
      <c r="J123">
        <v>0</v>
      </c>
      <c r="K123">
        <v>0</v>
      </c>
      <c r="L123" t="s">
        <v>6</v>
      </c>
      <c r="M123" t="s">
        <v>6</v>
      </c>
      <c r="N123">
        <v>0</v>
      </c>
      <c r="P123" t="s">
        <v>248</v>
      </c>
      <c r="IF123">
        <v>-1</v>
      </c>
    </row>
    <row r="124" spans="1:240" x14ac:dyDescent="0.2">
      <c r="A124">
        <v>70</v>
      </c>
      <c r="B124">
        <v>1</v>
      </c>
      <c r="D124">
        <v>3</v>
      </c>
      <c r="E124" t="s">
        <v>249</v>
      </c>
      <c r="F124" t="s">
        <v>250</v>
      </c>
      <c r="G124">
        <v>1.03</v>
      </c>
      <c r="H124">
        <v>0</v>
      </c>
      <c r="I124" t="s">
        <v>6</v>
      </c>
      <c r="J124">
        <v>0</v>
      </c>
      <c r="K124">
        <v>0</v>
      </c>
      <c r="L124" t="s">
        <v>6</v>
      </c>
      <c r="M124" t="s">
        <v>6</v>
      </c>
      <c r="N124">
        <v>0</v>
      </c>
      <c r="P124" t="s">
        <v>251</v>
      </c>
      <c r="IF124">
        <v>-1</v>
      </c>
    </row>
    <row r="125" spans="1:240" x14ac:dyDescent="0.2">
      <c r="A125">
        <v>70</v>
      </c>
      <c r="B125">
        <v>1</v>
      </c>
      <c r="D125">
        <v>4</v>
      </c>
      <c r="E125" t="s">
        <v>252</v>
      </c>
      <c r="F125" t="s">
        <v>253</v>
      </c>
      <c r="G125">
        <v>1.1499999999999999</v>
      </c>
      <c r="H125">
        <v>0</v>
      </c>
      <c r="I125" t="s">
        <v>6</v>
      </c>
      <c r="J125">
        <v>0</v>
      </c>
      <c r="K125">
        <v>0</v>
      </c>
      <c r="L125" t="s">
        <v>6</v>
      </c>
      <c r="M125" t="s">
        <v>6</v>
      </c>
      <c r="N125">
        <v>0</v>
      </c>
      <c r="P125" t="s">
        <v>254</v>
      </c>
      <c r="IF125">
        <v>-1</v>
      </c>
    </row>
    <row r="126" spans="1:240" x14ac:dyDescent="0.2">
      <c r="A126">
        <v>70</v>
      </c>
      <c r="B126">
        <v>1</v>
      </c>
      <c r="D126">
        <v>5</v>
      </c>
      <c r="E126" t="s">
        <v>255</v>
      </c>
      <c r="F126" t="s">
        <v>256</v>
      </c>
      <c r="G126">
        <v>7</v>
      </c>
      <c r="H126">
        <v>0</v>
      </c>
      <c r="I126" t="s">
        <v>6</v>
      </c>
      <c r="J126">
        <v>0</v>
      </c>
      <c r="K126">
        <v>0</v>
      </c>
      <c r="L126" t="s">
        <v>6</v>
      </c>
      <c r="M126" t="s">
        <v>6</v>
      </c>
      <c r="N126">
        <v>0</v>
      </c>
      <c r="P126" t="s">
        <v>6</v>
      </c>
      <c r="IF126">
        <v>-1</v>
      </c>
    </row>
    <row r="127" spans="1:240" x14ac:dyDescent="0.2">
      <c r="A127">
        <v>70</v>
      </c>
      <c r="B127">
        <v>1</v>
      </c>
      <c r="D127">
        <v>6</v>
      </c>
      <c r="E127" t="s">
        <v>257</v>
      </c>
      <c r="F127" t="s">
        <v>6</v>
      </c>
      <c r="G127">
        <v>2</v>
      </c>
      <c r="H127">
        <v>0</v>
      </c>
      <c r="I127" t="s">
        <v>6</v>
      </c>
      <c r="J127">
        <v>0</v>
      </c>
      <c r="K127">
        <v>0</v>
      </c>
      <c r="L127" t="s">
        <v>6</v>
      </c>
      <c r="M127" t="s">
        <v>6</v>
      </c>
      <c r="N127">
        <v>0</v>
      </c>
      <c r="P127" t="s">
        <v>6</v>
      </c>
      <c r="IF127">
        <v>-1</v>
      </c>
    </row>
    <row r="128" spans="1:240" x14ac:dyDescent="0.2">
      <c r="IF128">
        <v>-1</v>
      </c>
    </row>
    <row r="129" spans="1:240" x14ac:dyDescent="0.2">
      <c r="A129">
        <v>-1</v>
      </c>
      <c r="IF129">
        <v>-1</v>
      </c>
    </row>
    <row r="130" spans="1:240" x14ac:dyDescent="0.2">
      <c r="IF130">
        <v>-1</v>
      </c>
    </row>
    <row r="131" spans="1:240" x14ac:dyDescent="0.2">
      <c r="A131" s="3">
        <v>75</v>
      </c>
      <c r="B131" s="3" t="s">
        <v>258</v>
      </c>
      <c r="C131" s="3">
        <v>2025</v>
      </c>
      <c r="D131" s="3">
        <v>1</v>
      </c>
      <c r="E131" s="3">
        <v>0</v>
      </c>
      <c r="F131" s="3">
        <v>0</v>
      </c>
      <c r="G131" s="3">
        <v>0</v>
      </c>
      <c r="H131" s="3">
        <v>1</v>
      </c>
      <c r="I131" s="3">
        <v>0</v>
      </c>
      <c r="J131" s="3">
        <v>4</v>
      </c>
      <c r="K131" s="3">
        <v>0</v>
      </c>
      <c r="L131" s="3">
        <v>0</v>
      </c>
      <c r="M131" s="3">
        <v>0</v>
      </c>
      <c r="N131" s="3">
        <v>70471737</v>
      </c>
      <c r="O131" s="3">
        <v>1</v>
      </c>
      <c r="IF131">
        <v>-1</v>
      </c>
    </row>
    <row r="132" spans="1:240" x14ac:dyDescent="0.2">
      <c r="A132" s="5">
        <v>3</v>
      </c>
      <c r="B132" s="5" t="s">
        <v>259</v>
      </c>
      <c r="C132" s="5">
        <v>1</v>
      </c>
      <c r="D132" s="5">
        <v>5.09</v>
      </c>
      <c r="E132" s="5">
        <v>11.25</v>
      </c>
      <c r="F132" s="5">
        <v>36.67</v>
      </c>
      <c r="G132" s="5">
        <v>36.67</v>
      </c>
      <c r="H132" s="5">
        <v>6.25</v>
      </c>
      <c r="I132" s="5">
        <v>1</v>
      </c>
      <c r="J132" s="5">
        <v>2</v>
      </c>
      <c r="K132" s="5">
        <v>1</v>
      </c>
      <c r="L132" s="5">
        <v>11.25</v>
      </c>
      <c r="M132" s="5">
        <v>1</v>
      </c>
      <c r="N132" s="5">
        <v>5.09</v>
      </c>
      <c r="O132" s="5">
        <v>6.25</v>
      </c>
      <c r="P132" s="5">
        <v>1</v>
      </c>
      <c r="Q132" s="5">
        <v>1</v>
      </c>
      <c r="R132" s="5">
        <v>11.25</v>
      </c>
      <c r="S132" s="5" t="s">
        <v>6</v>
      </c>
      <c r="T132" s="5" t="s">
        <v>6</v>
      </c>
      <c r="U132" s="5" t="s">
        <v>6</v>
      </c>
      <c r="V132" s="5" t="s">
        <v>6</v>
      </c>
      <c r="W132" s="5" t="s">
        <v>6</v>
      </c>
      <c r="X132" s="5" t="s">
        <v>6</v>
      </c>
      <c r="Y132" s="5" t="s">
        <v>6</v>
      </c>
      <c r="Z132" s="5" t="s">
        <v>6</v>
      </c>
      <c r="AA132" s="5" t="s">
        <v>6</v>
      </c>
      <c r="AB132" s="5" t="s">
        <v>6</v>
      </c>
      <c r="AC132" s="5" t="s">
        <v>6</v>
      </c>
      <c r="AD132" s="5" t="s">
        <v>6</v>
      </c>
      <c r="AE132" s="5" t="s">
        <v>6</v>
      </c>
      <c r="AF132" s="5" t="s">
        <v>6</v>
      </c>
      <c r="AG132" s="5" t="s">
        <v>6</v>
      </c>
      <c r="AH132" s="5" t="s">
        <v>6</v>
      </c>
      <c r="AI132" s="5"/>
      <c r="AJ132" s="5"/>
      <c r="AK132" s="5"/>
      <c r="AL132" s="5"/>
      <c r="AM132" s="5"/>
      <c r="AN132" s="5">
        <v>70471738</v>
      </c>
      <c r="IF132">
        <v>-1</v>
      </c>
    </row>
    <row r="133" spans="1:240" x14ac:dyDescent="0.2">
      <c r="IF133">
        <v>-1</v>
      </c>
    </row>
    <row r="134" spans="1:240" x14ac:dyDescent="0.2">
      <c r="IF134">
        <v>-1</v>
      </c>
    </row>
    <row r="135" spans="1:240" x14ac:dyDescent="0.2">
      <c r="IF135">
        <v>-1</v>
      </c>
    </row>
    <row r="136" spans="1:240" x14ac:dyDescent="0.2">
      <c r="A136">
        <v>65</v>
      </c>
      <c r="C136">
        <v>1</v>
      </c>
      <c r="D136">
        <v>0</v>
      </c>
      <c r="E136">
        <v>245</v>
      </c>
      <c r="IF136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260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28762</v>
      </c>
      <c r="M1">
        <v>66419001</v>
      </c>
      <c r="N1">
        <v>11</v>
      </c>
      <c r="O1">
        <v>11</v>
      </c>
      <c r="P1">
        <v>0</v>
      </c>
      <c r="Q1">
        <v>3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131595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2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489201672</v>
      </c>
      <c r="CI12" s="1" t="s">
        <v>6</v>
      </c>
      <c r="CJ12" s="1" t="s">
        <v>6</v>
      </c>
      <c r="CK12" s="1">
        <v>9</v>
      </c>
      <c r="CL12" s="1"/>
      <c r="CM12" s="1"/>
      <c r="CN12" s="1"/>
      <c r="CO12" s="1"/>
      <c r="CP12" s="1"/>
      <c r="CQ12" s="1" t="s">
        <v>342</v>
      </c>
      <c r="CR12" s="1" t="s">
        <v>13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70471737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0</v>
      </c>
      <c r="C16" s="6" t="s">
        <v>14</v>
      </c>
      <c r="D16" s="6" t="s">
        <v>15</v>
      </c>
      <c r="E16" s="7" t="e">
        <f>ROUND((Source!F62)/1000,2)</f>
        <v>#REF!</v>
      </c>
      <c r="F16" s="7" t="e">
        <f>ROUND((Source!F63)/1000,2)</f>
        <v>#REF!</v>
      </c>
      <c r="G16" s="7">
        <f>ROUND((Source!F54)/1000,2)</f>
        <v>0</v>
      </c>
      <c r="H16" s="7" t="e">
        <f>ROUND((Source!F64)/1000+(Source!F65)/1000,2)</f>
        <v>#REF!</v>
      </c>
      <c r="I16" s="7" t="e">
        <f>E16+F16+G16+H16</f>
        <v>#REF!</v>
      </c>
      <c r="J16" s="7" t="e">
        <f>ROUND((Source!F60+Source!F59)/1000,2)</f>
        <v>#REF!</v>
      </c>
      <c r="AI16" s="6">
        <v>0</v>
      </c>
      <c r="AJ16" s="6">
        <v>-1</v>
      </c>
      <c r="AK16" s="6" t="s">
        <v>6</v>
      </c>
      <c r="AL16" s="6" t="s">
        <v>6</v>
      </c>
      <c r="AM16" s="6" t="s">
        <v>6</v>
      </c>
      <c r="AN16" s="6">
        <v>0</v>
      </c>
      <c r="AO16" s="6" t="s">
        <v>6</v>
      </c>
      <c r="AP16" s="6" t="s">
        <v>6</v>
      </c>
      <c r="AT16" s="7">
        <v>4278738.22</v>
      </c>
      <c r="AU16" s="7">
        <v>3847808.76</v>
      </c>
      <c r="AV16" s="7">
        <v>0</v>
      </c>
      <c r="AW16" s="7">
        <v>0</v>
      </c>
      <c r="AX16" s="7">
        <v>0</v>
      </c>
      <c r="AY16" s="7">
        <v>138913.20000000001</v>
      </c>
      <c r="AZ16" s="7">
        <v>59633.31</v>
      </c>
      <c r="BA16" s="7">
        <v>292016.26</v>
      </c>
      <c r="BB16" s="7">
        <v>2610115.7200000002</v>
      </c>
      <c r="BC16" s="7">
        <v>2000803.75</v>
      </c>
      <c r="BD16" s="7">
        <v>180490.28</v>
      </c>
      <c r="BE16" s="7">
        <v>0</v>
      </c>
      <c r="BF16" s="7">
        <v>876.67541419999998</v>
      </c>
      <c r="BG16" s="7">
        <v>132.107102</v>
      </c>
      <c r="BH16" s="7">
        <v>0</v>
      </c>
      <c r="BI16" s="7">
        <v>337496.92</v>
      </c>
      <c r="BJ16" s="7">
        <v>175174.61</v>
      </c>
      <c r="BK16" s="7">
        <v>4791409.75</v>
      </c>
    </row>
    <row r="18" spans="1:19" x14ac:dyDescent="0.2">
      <c r="A18">
        <v>51</v>
      </c>
      <c r="E18" s="8" t="e">
        <f>SUMIF(A16:A17,3,E16:E17)</f>
        <v>#REF!</v>
      </c>
      <c r="F18" s="8" t="e">
        <f>SUMIF(A16:A17,3,F16:F17)</f>
        <v>#REF!</v>
      </c>
      <c r="G18" s="8">
        <f>SUMIF(A16:A17,3,G16:G17)</f>
        <v>0</v>
      </c>
      <c r="H18" s="8" t="e">
        <f>SUMIF(A16:A17,3,H16:H17)</f>
        <v>#REF!</v>
      </c>
      <c r="I18" s="8" t="e">
        <f>SUMIF(A16:A17,3,I16:I17)</f>
        <v>#REF!</v>
      </c>
      <c r="J18" s="8" t="e">
        <f>SUMIF(A16:A17,3,J16:J17)</f>
        <v>#REF!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4278738.22</v>
      </c>
      <c r="G20" s="4" t="s">
        <v>141</v>
      </c>
      <c r="H20" s="4" t="s">
        <v>142</v>
      </c>
      <c r="I20" s="4"/>
      <c r="J20" s="4"/>
      <c r="K20" s="4">
        <v>201</v>
      </c>
      <c r="L20" s="4">
        <v>1</v>
      </c>
      <c r="M20" s="4">
        <v>3</v>
      </c>
      <c r="N20" s="4" t="s">
        <v>6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3847808.76</v>
      </c>
      <c r="G21" s="4" t="s">
        <v>143</v>
      </c>
      <c r="H21" s="4" t="s">
        <v>144</v>
      </c>
      <c r="I21" s="4"/>
      <c r="J21" s="4"/>
      <c r="K21" s="4">
        <v>202</v>
      </c>
      <c r="L21" s="4">
        <v>2</v>
      </c>
      <c r="M21" s="4">
        <v>3</v>
      </c>
      <c r="N21" s="4" t="s">
        <v>6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145</v>
      </c>
      <c r="H22" s="4" t="s">
        <v>146</v>
      </c>
      <c r="I22" s="4"/>
      <c r="J22" s="4"/>
      <c r="K22" s="4">
        <v>222</v>
      </c>
      <c r="L22" s="4">
        <v>3</v>
      </c>
      <c r="M22" s="4">
        <v>3</v>
      </c>
      <c r="N22" s="4" t="s">
        <v>6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3847808.76</v>
      </c>
      <c r="G23" s="4" t="s">
        <v>147</v>
      </c>
      <c r="H23" s="4" t="s">
        <v>148</v>
      </c>
      <c r="I23" s="4"/>
      <c r="J23" s="4"/>
      <c r="K23" s="4">
        <v>225</v>
      </c>
      <c r="L23" s="4">
        <v>4</v>
      </c>
      <c r="M23" s="4">
        <v>3</v>
      </c>
      <c r="N23" s="4" t="s">
        <v>6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3847808.76</v>
      </c>
      <c r="G24" s="4" t="s">
        <v>149</v>
      </c>
      <c r="H24" s="4" t="s">
        <v>150</v>
      </c>
      <c r="I24" s="4"/>
      <c r="J24" s="4"/>
      <c r="K24" s="4">
        <v>226</v>
      </c>
      <c r="L24" s="4">
        <v>5</v>
      </c>
      <c r="M24" s="4">
        <v>3</v>
      </c>
      <c r="N24" s="4" t="s">
        <v>6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151</v>
      </c>
      <c r="H25" s="4" t="s">
        <v>152</v>
      </c>
      <c r="I25" s="4"/>
      <c r="J25" s="4"/>
      <c r="K25" s="4">
        <v>227</v>
      </c>
      <c r="L25" s="4">
        <v>6</v>
      </c>
      <c r="M25" s="4">
        <v>3</v>
      </c>
      <c r="N25" s="4" t="s">
        <v>6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3847808.76</v>
      </c>
      <c r="G26" s="4" t="s">
        <v>153</v>
      </c>
      <c r="H26" s="4" t="s">
        <v>154</v>
      </c>
      <c r="I26" s="4"/>
      <c r="J26" s="4"/>
      <c r="K26" s="4">
        <v>228</v>
      </c>
      <c r="L26" s="4">
        <v>7</v>
      </c>
      <c r="M26" s="4">
        <v>3</v>
      </c>
      <c r="N26" s="4" t="s">
        <v>6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155</v>
      </c>
      <c r="H27" s="4" t="s">
        <v>156</v>
      </c>
      <c r="I27" s="4"/>
      <c r="J27" s="4"/>
      <c r="K27" s="4">
        <v>216</v>
      </c>
      <c r="L27" s="4">
        <v>8</v>
      </c>
      <c r="M27" s="4">
        <v>3</v>
      </c>
      <c r="N27" s="4" t="s">
        <v>6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157</v>
      </c>
      <c r="H28" s="4" t="s">
        <v>158</v>
      </c>
      <c r="I28" s="4"/>
      <c r="J28" s="4"/>
      <c r="K28" s="4">
        <v>223</v>
      </c>
      <c r="L28" s="4">
        <v>9</v>
      </c>
      <c r="M28" s="4">
        <v>3</v>
      </c>
      <c r="N28" s="4" t="s">
        <v>6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159</v>
      </c>
      <c r="H29" s="4" t="s">
        <v>160</v>
      </c>
      <c r="I29" s="4"/>
      <c r="J29" s="4"/>
      <c r="K29" s="4">
        <v>229</v>
      </c>
      <c r="L29" s="4">
        <v>10</v>
      </c>
      <c r="M29" s="4">
        <v>3</v>
      </c>
      <c r="N29" s="4" t="s">
        <v>6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138913.20000000001</v>
      </c>
      <c r="G30" s="4" t="s">
        <v>161</v>
      </c>
      <c r="H30" s="4" t="s">
        <v>162</v>
      </c>
      <c r="I30" s="4"/>
      <c r="J30" s="4"/>
      <c r="K30" s="4">
        <v>203</v>
      </c>
      <c r="L30" s="4">
        <v>11</v>
      </c>
      <c r="M30" s="4">
        <v>3</v>
      </c>
      <c r="N30" s="4" t="s">
        <v>6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163</v>
      </c>
      <c r="H31" s="4" t="s">
        <v>164</v>
      </c>
      <c r="I31" s="4"/>
      <c r="J31" s="4"/>
      <c r="K31" s="4">
        <v>231</v>
      </c>
      <c r="L31" s="4">
        <v>12</v>
      </c>
      <c r="M31" s="4">
        <v>3</v>
      </c>
      <c r="N31" s="4" t="s">
        <v>6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59633.31</v>
      </c>
      <c r="G32" s="4" t="s">
        <v>165</v>
      </c>
      <c r="H32" s="4" t="s">
        <v>166</v>
      </c>
      <c r="I32" s="4"/>
      <c r="J32" s="4"/>
      <c r="K32" s="4">
        <v>204</v>
      </c>
      <c r="L32" s="4">
        <v>13</v>
      </c>
      <c r="M32" s="4">
        <v>3</v>
      </c>
      <c r="N32" s="4" t="s">
        <v>6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292016.26</v>
      </c>
      <c r="G33" s="4" t="s">
        <v>167</v>
      </c>
      <c r="H33" s="4" t="s">
        <v>168</v>
      </c>
      <c r="I33" s="4"/>
      <c r="J33" s="4"/>
      <c r="K33" s="4">
        <v>205</v>
      </c>
      <c r="L33" s="4">
        <v>14</v>
      </c>
      <c r="M33" s="4">
        <v>3</v>
      </c>
      <c r="N33" s="4" t="s">
        <v>6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169</v>
      </c>
      <c r="H34" s="4" t="s">
        <v>170</v>
      </c>
      <c r="I34" s="4"/>
      <c r="J34" s="4"/>
      <c r="K34" s="4">
        <v>232</v>
      </c>
      <c r="L34" s="4">
        <v>15</v>
      </c>
      <c r="M34" s="4">
        <v>3</v>
      </c>
      <c r="N34" s="4" t="s">
        <v>6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2610115.7200000002</v>
      </c>
      <c r="G35" s="4" t="s">
        <v>171</v>
      </c>
      <c r="H35" s="4" t="s">
        <v>172</v>
      </c>
      <c r="I35" s="4"/>
      <c r="J35" s="4"/>
      <c r="K35" s="4">
        <v>214</v>
      </c>
      <c r="L35" s="4">
        <v>16</v>
      </c>
      <c r="M35" s="4">
        <v>3</v>
      </c>
      <c r="N35" s="4" t="s">
        <v>6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2000803.75</v>
      </c>
      <c r="G36" s="4" t="s">
        <v>173</v>
      </c>
      <c r="H36" s="4" t="s">
        <v>174</v>
      </c>
      <c r="I36" s="4"/>
      <c r="J36" s="4"/>
      <c r="K36" s="4">
        <v>215</v>
      </c>
      <c r="L36" s="4">
        <v>17</v>
      </c>
      <c r="M36" s="4">
        <v>3</v>
      </c>
      <c r="N36" s="4" t="s">
        <v>6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180490.28</v>
      </c>
      <c r="G37" s="4" t="s">
        <v>175</v>
      </c>
      <c r="H37" s="4" t="s">
        <v>176</v>
      </c>
      <c r="I37" s="4"/>
      <c r="J37" s="4"/>
      <c r="K37" s="4">
        <v>217</v>
      </c>
      <c r="L37" s="4">
        <v>18</v>
      </c>
      <c r="M37" s="4">
        <v>3</v>
      </c>
      <c r="N37" s="4" t="s">
        <v>6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177</v>
      </c>
      <c r="H38" s="4" t="s">
        <v>178</v>
      </c>
      <c r="I38" s="4"/>
      <c r="J38" s="4"/>
      <c r="K38" s="4">
        <v>230</v>
      </c>
      <c r="L38" s="4">
        <v>19</v>
      </c>
      <c r="M38" s="4">
        <v>3</v>
      </c>
      <c r="N38" s="4" t="s">
        <v>6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179</v>
      </c>
      <c r="H39" s="4" t="s">
        <v>180</v>
      </c>
      <c r="I39" s="4"/>
      <c r="J39" s="4"/>
      <c r="K39" s="4">
        <v>206</v>
      </c>
      <c r="L39" s="4">
        <v>20</v>
      </c>
      <c r="M39" s="4">
        <v>3</v>
      </c>
      <c r="N39" s="4" t="s">
        <v>6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876.67541419999998</v>
      </c>
      <c r="G40" s="4" t="s">
        <v>181</v>
      </c>
      <c r="H40" s="4" t="s">
        <v>182</v>
      </c>
      <c r="I40" s="4"/>
      <c r="J40" s="4"/>
      <c r="K40" s="4">
        <v>207</v>
      </c>
      <c r="L40" s="4">
        <v>21</v>
      </c>
      <c r="M40" s="4">
        <v>3</v>
      </c>
      <c r="N40" s="4" t="s">
        <v>6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132.107102</v>
      </c>
      <c r="G41" s="4" t="s">
        <v>183</v>
      </c>
      <c r="H41" s="4" t="s">
        <v>184</v>
      </c>
      <c r="I41" s="4"/>
      <c r="J41" s="4"/>
      <c r="K41" s="4">
        <v>208</v>
      </c>
      <c r="L41" s="4">
        <v>22</v>
      </c>
      <c r="M41" s="4">
        <v>3</v>
      </c>
      <c r="N41" s="4" t="s">
        <v>6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185</v>
      </c>
      <c r="H42" s="4" t="s">
        <v>186</v>
      </c>
      <c r="I42" s="4"/>
      <c r="J42" s="4"/>
      <c r="K42" s="4">
        <v>209</v>
      </c>
      <c r="L42" s="4">
        <v>23</v>
      </c>
      <c r="M42" s="4">
        <v>3</v>
      </c>
      <c r="N42" s="4" t="s">
        <v>6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187</v>
      </c>
      <c r="H43" s="4" t="s">
        <v>188</v>
      </c>
      <c r="I43" s="4"/>
      <c r="J43" s="4"/>
      <c r="K43" s="4">
        <v>233</v>
      </c>
      <c r="L43" s="4">
        <v>24</v>
      </c>
      <c r="M43" s="4">
        <v>3</v>
      </c>
      <c r="N43" s="4" t="s">
        <v>6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337496.92</v>
      </c>
      <c r="G44" s="4" t="s">
        <v>189</v>
      </c>
      <c r="H44" s="4" t="s">
        <v>190</v>
      </c>
      <c r="I44" s="4"/>
      <c r="J44" s="4"/>
      <c r="K44" s="4">
        <v>210</v>
      </c>
      <c r="L44" s="4">
        <v>25</v>
      </c>
      <c r="M44" s="4">
        <v>3</v>
      </c>
      <c r="N44" s="4" t="s">
        <v>6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175174.61</v>
      </c>
      <c r="G45" s="4" t="s">
        <v>191</v>
      </c>
      <c r="H45" s="4" t="s">
        <v>192</v>
      </c>
      <c r="I45" s="4"/>
      <c r="J45" s="4"/>
      <c r="K45" s="4">
        <v>211</v>
      </c>
      <c r="L45" s="4">
        <v>26</v>
      </c>
      <c r="M45" s="4">
        <v>3</v>
      </c>
      <c r="N45" s="4" t="s">
        <v>6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4791409.75</v>
      </c>
      <c r="G46" s="4" t="s">
        <v>193</v>
      </c>
      <c r="H46" s="4" t="s">
        <v>194</v>
      </c>
      <c r="I46" s="4"/>
      <c r="J46" s="4"/>
      <c r="K46" s="4">
        <v>224</v>
      </c>
      <c r="L46" s="4">
        <v>27</v>
      </c>
      <c r="M46" s="4">
        <v>3</v>
      </c>
      <c r="N46" s="4" t="s">
        <v>6</v>
      </c>
      <c r="O46" s="4">
        <v>2</v>
      </c>
      <c r="P46" s="4"/>
    </row>
    <row r="48" spans="1:16" x14ac:dyDescent="0.2">
      <c r="A48">
        <v>-1</v>
      </c>
    </row>
    <row r="51" spans="1:40" x14ac:dyDescent="0.2">
      <c r="A51" s="3">
        <v>75</v>
      </c>
      <c r="B51" s="3" t="s">
        <v>258</v>
      </c>
      <c r="C51" s="3">
        <v>2025</v>
      </c>
      <c r="D51" s="3">
        <v>1</v>
      </c>
      <c r="E51" s="3">
        <v>0</v>
      </c>
      <c r="F51" s="3">
        <v>0</v>
      </c>
      <c r="G51" s="3">
        <v>0</v>
      </c>
      <c r="H51" s="3">
        <v>1</v>
      </c>
      <c r="I51" s="3">
        <v>0</v>
      </c>
      <c r="J51" s="3">
        <v>4</v>
      </c>
      <c r="K51" s="3">
        <v>0</v>
      </c>
      <c r="L51" s="3">
        <v>0</v>
      </c>
      <c r="M51" s="3">
        <v>0</v>
      </c>
      <c r="N51" s="3">
        <v>70471737</v>
      </c>
      <c r="O51" s="3">
        <v>1</v>
      </c>
    </row>
    <row r="52" spans="1:40" x14ac:dyDescent="0.2">
      <c r="A52" s="5">
        <v>3</v>
      </c>
      <c r="B52" s="5" t="s">
        <v>259</v>
      </c>
      <c r="C52" s="5">
        <v>1</v>
      </c>
      <c r="D52" s="5">
        <v>5.09</v>
      </c>
      <c r="E52" s="5">
        <v>11.25</v>
      </c>
      <c r="F52" s="5">
        <v>36.67</v>
      </c>
      <c r="G52" s="5">
        <v>36.67</v>
      </c>
      <c r="H52" s="5">
        <v>6.25</v>
      </c>
      <c r="I52" s="5">
        <v>1</v>
      </c>
      <c r="J52" s="5">
        <v>2</v>
      </c>
      <c r="K52" s="5">
        <v>1</v>
      </c>
      <c r="L52" s="5">
        <v>11.25</v>
      </c>
      <c r="M52" s="5">
        <v>1</v>
      </c>
      <c r="N52" s="5">
        <v>5.09</v>
      </c>
      <c r="O52" s="5">
        <v>6.25</v>
      </c>
      <c r="P52" s="5">
        <v>1</v>
      </c>
      <c r="Q52" s="5">
        <v>1</v>
      </c>
      <c r="R52" s="5">
        <v>11.25</v>
      </c>
      <c r="S52" s="5" t="s">
        <v>6</v>
      </c>
      <c r="T52" s="5" t="s">
        <v>6</v>
      </c>
      <c r="U52" s="5" t="s">
        <v>6</v>
      </c>
      <c r="V52" s="5" t="s">
        <v>6</v>
      </c>
      <c r="W52" s="5" t="s">
        <v>6</v>
      </c>
      <c r="X52" s="5" t="s">
        <v>6</v>
      </c>
      <c r="Y52" s="5" t="s">
        <v>6</v>
      </c>
      <c r="Z52" s="5" t="s">
        <v>6</v>
      </c>
      <c r="AA52" s="5" t="s">
        <v>6</v>
      </c>
      <c r="AB52" s="5" t="s">
        <v>6</v>
      </c>
      <c r="AC52" s="5" t="s">
        <v>6</v>
      </c>
      <c r="AD52" s="5" t="s">
        <v>6</v>
      </c>
      <c r="AE52" s="5" t="s">
        <v>6</v>
      </c>
      <c r="AF52" s="5" t="s">
        <v>6</v>
      </c>
      <c r="AG52" s="5" t="s">
        <v>6</v>
      </c>
      <c r="AH52" s="5" t="s">
        <v>6</v>
      </c>
      <c r="AI52" s="5"/>
      <c r="AJ52" s="5"/>
      <c r="AK52" s="5"/>
      <c r="AL52" s="5"/>
      <c r="AM52" s="5"/>
      <c r="AN52" s="5">
        <v>70471738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7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ROW(Source!A24)</f>
        <v>24</v>
      </c>
      <c r="B1">
        <v>70471737</v>
      </c>
      <c r="C1">
        <v>70470182</v>
      </c>
      <c r="D1">
        <v>49510905</v>
      </c>
      <c r="E1">
        <v>70</v>
      </c>
      <c r="F1">
        <v>1</v>
      </c>
      <c r="G1">
        <v>1</v>
      </c>
      <c r="H1">
        <v>1</v>
      </c>
      <c r="I1" t="s">
        <v>261</v>
      </c>
      <c r="J1" t="s">
        <v>6</v>
      </c>
      <c r="K1" t="s">
        <v>262</v>
      </c>
      <c r="L1">
        <v>1191</v>
      </c>
      <c r="N1">
        <v>1013</v>
      </c>
      <c r="O1" t="s">
        <v>263</v>
      </c>
      <c r="P1" t="s">
        <v>263</v>
      </c>
      <c r="Q1">
        <v>1</v>
      </c>
      <c r="W1">
        <v>0</v>
      </c>
      <c r="X1">
        <v>-1417349443</v>
      </c>
      <c r="Y1">
        <f>AT1</f>
        <v>45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36.67</v>
      </c>
      <c r="AL1">
        <v>1</v>
      </c>
      <c r="AM1">
        <v>4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6</v>
      </c>
      <c r="AT1">
        <v>45</v>
      </c>
      <c r="AU1" t="s">
        <v>6</v>
      </c>
      <c r="AV1">
        <v>2</v>
      </c>
      <c r="AW1">
        <v>2</v>
      </c>
      <c r="AX1">
        <v>70471770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V1">
        <v>0</v>
      </c>
      <c r="CW1">
        <v>0</v>
      </c>
      <c r="CX1">
        <f>ROUND(Y1*Source!I24,7)</f>
        <v>22.5</v>
      </c>
      <c r="CY1">
        <f>AD1</f>
        <v>0</v>
      </c>
      <c r="CZ1">
        <f>AH1</f>
        <v>0</v>
      </c>
      <c r="DA1">
        <f>AL1</f>
        <v>1</v>
      </c>
      <c r="DB1">
        <f>ROUND(ROUND(AT1*CZ1,2),2)</f>
        <v>0</v>
      </c>
      <c r="DC1">
        <f>ROUND(ROUND(AT1*AG1,2),2)</f>
        <v>0</v>
      </c>
      <c r="DD1" t="s">
        <v>6</v>
      </c>
      <c r="DE1" t="s">
        <v>6</v>
      </c>
      <c r="DF1">
        <f t="shared" ref="DF1:DF14" si="0">ROUND(ROUND(AE1,2)*CX1,2)</f>
        <v>0</v>
      </c>
      <c r="DG1">
        <f>ROUND(ROUND(AF1,2)*CX1,2)</f>
        <v>0</v>
      </c>
      <c r="DH1">
        <f>Source!I24*SmtRes!Y1</f>
        <v>22.5</v>
      </c>
      <c r="DI1">
        <f>AD1</f>
        <v>0</v>
      </c>
      <c r="DJ1">
        <f>EtalonRes!AB1</f>
        <v>0</v>
      </c>
      <c r="DK1">
        <f>Source!BA24</f>
        <v>36.67</v>
      </c>
      <c r="DL1" t="s">
        <v>6</v>
      </c>
      <c r="DM1">
        <v>0</v>
      </c>
      <c r="DN1" t="s">
        <v>6</v>
      </c>
      <c r="DO1">
        <v>0</v>
      </c>
      <c r="GQ1">
        <v>-1</v>
      </c>
      <c r="GR1">
        <v>-1</v>
      </c>
    </row>
    <row r="2" spans="1:200" x14ac:dyDescent="0.2">
      <c r="A2">
        <f>ROW(Source!A24)</f>
        <v>24</v>
      </c>
      <c r="B2">
        <v>70471737</v>
      </c>
      <c r="C2">
        <v>70470182</v>
      </c>
      <c r="D2">
        <v>49672093</v>
      </c>
      <c r="E2">
        <v>1</v>
      </c>
      <c r="F2">
        <v>1</v>
      </c>
      <c r="G2">
        <v>1</v>
      </c>
      <c r="H2">
        <v>2</v>
      </c>
      <c r="I2" t="s">
        <v>264</v>
      </c>
      <c r="J2" t="s">
        <v>265</v>
      </c>
      <c r="K2" t="s">
        <v>266</v>
      </c>
      <c r="L2">
        <v>1367</v>
      </c>
      <c r="N2">
        <v>1011</v>
      </c>
      <c r="O2" t="s">
        <v>267</v>
      </c>
      <c r="P2" t="s">
        <v>267</v>
      </c>
      <c r="Q2">
        <v>1</v>
      </c>
      <c r="W2">
        <v>0</v>
      </c>
      <c r="X2">
        <v>937838483</v>
      </c>
      <c r="Y2">
        <f>AT2</f>
        <v>45</v>
      </c>
      <c r="AA2">
        <v>0</v>
      </c>
      <c r="AB2">
        <v>787.61</v>
      </c>
      <c r="AC2">
        <v>425.37</v>
      </c>
      <c r="AD2">
        <v>0</v>
      </c>
      <c r="AE2">
        <v>0</v>
      </c>
      <c r="AF2">
        <v>70.010000000000005</v>
      </c>
      <c r="AG2">
        <v>11.6</v>
      </c>
      <c r="AH2">
        <v>0</v>
      </c>
      <c r="AI2">
        <v>1</v>
      </c>
      <c r="AJ2">
        <v>11.25</v>
      </c>
      <c r="AK2">
        <v>36.67</v>
      </c>
      <c r="AL2">
        <v>1</v>
      </c>
      <c r="AM2">
        <v>4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6</v>
      </c>
      <c r="AT2">
        <v>45</v>
      </c>
      <c r="AU2" t="s">
        <v>6</v>
      </c>
      <c r="AV2">
        <v>0</v>
      </c>
      <c r="AW2">
        <v>2</v>
      </c>
      <c r="AX2">
        <v>70471771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f>ROUND(Y2*Source!I24*DO2,7)</f>
        <v>0</v>
      </c>
      <c r="CX2">
        <f>ROUND(Y2*Source!I24,7)</f>
        <v>22.5</v>
      </c>
      <c r="CY2">
        <f>AB2</f>
        <v>787.61</v>
      </c>
      <c r="CZ2">
        <f>AF2</f>
        <v>70.010000000000005</v>
      </c>
      <c r="DA2">
        <f>AJ2</f>
        <v>11.25</v>
      </c>
      <c r="DB2">
        <f>ROUND(ROUND(AT2*CZ2,2),2)</f>
        <v>3150.45</v>
      </c>
      <c r="DC2">
        <f>ROUND(ROUND(AT2*AG2,2),2)</f>
        <v>522</v>
      </c>
      <c r="DD2" t="s">
        <v>6</v>
      </c>
      <c r="DE2" t="s">
        <v>6</v>
      </c>
      <c r="DF2">
        <f t="shared" si="0"/>
        <v>0</v>
      </c>
      <c r="DG2">
        <f>ROUND(ROUND(AF2*AJ2,2)*CX2,2)</f>
        <v>17721.23</v>
      </c>
      <c r="DH2">
        <f>Source!I24*SmtRes!Y2</f>
        <v>22.5</v>
      </c>
      <c r="DI2">
        <f>AB2</f>
        <v>787.61</v>
      </c>
      <c r="DJ2">
        <f>EtalonRes!Z2</f>
        <v>70.010000000000005</v>
      </c>
      <c r="DK2" t="e">
        <f>Source!BB24</f>
        <v>#REF!</v>
      </c>
      <c r="DL2" t="s">
        <v>6</v>
      </c>
      <c r="DM2">
        <v>0</v>
      </c>
      <c r="DN2" t="s">
        <v>6</v>
      </c>
      <c r="DO2">
        <v>0</v>
      </c>
      <c r="GQ2">
        <v>-1</v>
      </c>
      <c r="GR2">
        <v>-1</v>
      </c>
    </row>
    <row r="3" spans="1:200" x14ac:dyDescent="0.2">
      <c r="A3">
        <f>ROW(Source!A25)</f>
        <v>25</v>
      </c>
      <c r="B3">
        <v>70471737</v>
      </c>
      <c r="C3">
        <v>70470187</v>
      </c>
      <c r="D3">
        <v>49510681</v>
      </c>
      <c r="E3">
        <v>70</v>
      </c>
      <c r="F3">
        <v>1</v>
      </c>
      <c r="G3">
        <v>1</v>
      </c>
      <c r="H3">
        <v>1</v>
      </c>
      <c r="I3" t="s">
        <v>268</v>
      </c>
      <c r="J3" t="s">
        <v>6</v>
      </c>
      <c r="K3" t="s">
        <v>269</v>
      </c>
      <c r="L3">
        <v>1191</v>
      </c>
      <c r="N3">
        <v>1013</v>
      </c>
      <c r="O3" t="s">
        <v>263</v>
      </c>
      <c r="P3" t="s">
        <v>263</v>
      </c>
      <c r="Q3">
        <v>1</v>
      </c>
      <c r="W3">
        <v>0</v>
      </c>
      <c r="X3">
        <v>2031828327</v>
      </c>
      <c r="Y3">
        <f>(AT3*ROUND(1.15,7))</f>
        <v>177.1</v>
      </c>
      <c r="AA3">
        <v>0</v>
      </c>
      <c r="AB3">
        <v>0</v>
      </c>
      <c r="AC3">
        <v>0</v>
      </c>
      <c r="AD3">
        <v>286.02999999999997</v>
      </c>
      <c r="AE3">
        <v>0</v>
      </c>
      <c r="AF3">
        <v>0</v>
      </c>
      <c r="AG3">
        <v>0</v>
      </c>
      <c r="AH3">
        <v>7.8</v>
      </c>
      <c r="AI3">
        <v>1</v>
      </c>
      <c r="AJ3">
        <v>1</v>
      </c>
      <c r="AK3">
        <v>1</v>
      </c>
      <c r="AL3">
        <v>36.67</v>
      </c>
      <c r="AM3">
        <v>4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6</v>
      </c>
      <c r="AT3">
        <v>154</v>
      </c>
      <c r="AU3" t="s">
        <v>33</v>
      </c>
      <c r="AV3">
        <v>1</v>
      </c>
      <c r="AW3">
        <v>2</v>
      </c>
      <c r="AX3">
        <v>70471772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U3">
        <f>ROUND(AT3*Source!I25*AH3*AL3,2)</f>
        <v>6607.2</v>
      </c>
      <c r="CV3">
        <f>ROUND(Y3*Source!I25,7)</f>
        <v>26.565000000000001</v>
      </c>
      <c r="CW3">
        <v>0</v>
      </c>
      <c r="CX3">
        <f>ROUND(Y3*Source!I25,7)</f>
        <v>26.565000000000001</v>
      </c>
      <c r="CY3">
        <f>AD3</f>
        <v>286.02999999999997</v>
      </c>
      <c r="CZ3">
        <f>AH3</f>
        <v>7.8</v>
      </c>
      <c r="DA3">
        <f>AL3</f>
        <v>36.67</v>
      </c>
      <c r="DB3">
        <f>ROUND((ROUND(AT3*CZ3,2)*ROUND(1.15,7)),2)</f>
        <v>1381.38</v>
      </c>
      <c r="DC3">
        <f>ROUND((ROUND(AT3*AG3,2)*ROUND(1.15,7)),2)</f>
        <v>0</v>
      </c>
      <c r="DD3" t="s">
        <v>6</v>
      </c>
      <c r="DE3" t="s">
        <v>6</v>
      </c>
      <c r="DF3">
        <f t="shared" si="0"/>
        <v>0</v>
      </c>
      <c r="DG3">
        <f>ROUND(ROUND(AF3,2)*CX3,2)</f>
        <v>0</v>
      </c>
      <c r="DH3">
        <f>Source!I25*SmtRes!Y3</f>
        <v>26.564999999999998</v>
      </c>
      <c r="DI3">
        <f>AD3</f>
        <v>286.02999999999997</v>
      </c>
      <c r="DJ3">
        <f>EtalonRes!AB3</f>
        <v>7.8</v>
      </c>
      <c r="DK3" t="e">
        <f>Source!BA25</f>
        <v>#REF!</v>
      </c>
      <c r="DL3" t="s">
        <v>6</v>
      </c>
      <c r="DM3">
        <v>0</v>
      </c>
      <c r="DN3" t="s">
        <v>6</v>
      </c>
      <c r="DO3">
        <v>0</v>
      </c>
      <c r="GQ3">
        <v>-1</v>
      </c>
      <c r="GR3">
        <v>-1</v>
      </c>
    </row>
    <row r="4" spans="1:200" x14ac:dyDescent="0.2">
      <c r="A4">
        <f>ROW(Source!A26)</f>
        <v>26</v>
      </c>
      <c r="B4">
        <v>70471737</v>
      </c>
      <c r="C4">
        <v>70470190</v>
      </c>
      <c r="D4">
        <v>49510657</v>
      </c>
      <c r="E4">
        <v>70</v>
      </c>
      <c r="F4">
        <v>1</v>
      </c>
      <c r="G4">
        <v>1</v>
      </c>
      <c r="H4">
        <v>1</v>
      </c>
      <c r="I4" t="s">
        <v>270</v>
      </c>
      <c r="J4" t="s">
        <v>6</v>
      </c>
      <c r="K4" t="s">
        <v>271</v>
      </c>
      <c r="L4">
        <v>1191</v>
      </c>
      <c r="N4">
        <v>1013</v>
      </c>
      <c r="O4" t="s">
        <v>263</v>
      </c>
      <c r="P4" t="s">
        <v>263</v>
      </c>
      <c r="Q4">
        <v>1</v>
      </c>
      <c r="W4">
        <v>0</v>
      </c>
      <c r="X4">
        <v>-1046754522</v>
      </c>
      <c r="Y4">
        <f t="shared" ref="Y4:Y31" si="1">AT4</f>
        <v>88.5</v>
      </c>
      <c r="AA4">
        <v>0</v>
      </c>
      <c r="AB4">
        <v>0</v>
      </c>
      <c r="AC4">
        <v>0</v>
      </c>
      <c r="AD4">
        <v>275.02999999999997</v>
      </c>
      <c r="AE4">
        <v>0</v>
      </c>
      <c r="AF4">
        <v>0</v>
      </c>
      <c r="AG4">
        <v>0</v>
      </c>
      <c r="AH4">
        <v>7.5</v>
      </c>
      <c r="AI4">
        <v>1</v>
      </c>
      <c r="AJ4">
        <v>1</v>
      </c>
      <c r="AK4">
        <v>1</v>
      </c>
      <c r="AL4">
        <v>36.67</v>
      </c>
      <c r="AM4">
        <v>4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6</v>
      </c>
      <c r="AT4">
        <v>88.5</v>
      </c>
      <c r="AU4" t="s">
        <v>6</v>
      </c>
      <c r="AV4">
        <v>1</v>
      </c>
      <c r="AW4">
        <v>2</v>
      </c>
      <c r="AX4">
        <v>70471773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U4">
        <f>ROUND(AT4*Source!I26*AH4*AL4,2)</f>
        <v>40647.32</v>
      </c>
      <c r="CV4">
        <f>ROUND(Y4*Source!I26,7)</f>
        <v>147.79499999999999</v>
      </c>
      <c r="CW4">
        <v>0</v>
      </c>
      <c r="CX4">
        <f>ROUND(Y4*Source!I26,7)</f>
        <v>147.79499999999999</v>
      </c>
      <c r="CY4">
        <f>AD4</f>
        <v>275.02999999999997</v>
      </c>
      <c r="CZ4">
        <f>AH4</f>
        <v>7.5</v>
      </c>
      <c r="DA4">
        <f>AL4</f>
        <v>36.67</v>
      </c>
      <c r="DB4">
        <f t="shared" ref="DB4:DB35" si="2">ROUND(ROUND(AT4*CZ4,2),2)</f>
        <v>663.75</v>
      </c>
      <c r="DC4">
        <f t="shared" ref="DC4:DC35" si="3">ROUND(ROUND(AT4*AG4,2),2)</f>
        <v>0</v>
      </c>
      <c r="DD4" t="s">
        <v>6</v>
      </c>
      <c r="DE4" t="s">
        <v>6</v>
      </c>
      <c r="DF4">
        <f t="shared" si="0"/>
        <v>0</v>
      </c>
      <c r="DG4">
        <f>ROUND(ROUND(AF4,2)*CX4,2)</f>
        <v>0</v>
      </c>
      <c r="DH4">
        <f>Source!I26*SmtRes!Y4</f>
        <v>147.79499999999999</v>
      </c>
      <c r="DI4">
        <f>AD4</f>
        <v>275.02999999999997</v>
      </c>
      <c r="DJ4">
        <f>EtalonRes!AB4</f>
        <v>7.5</v>
      </c>
      <c r="DK4" t="e">
        <f>Source!BA26</f>
        <v>#REF!</v>
      </c>
      <c r="DL4" t="s">
        <v>6</v>
      </c>
      <c r="DM4">
        <v>0</v>
      </c>
      <c r="DN4" t="s">
        <v>6</v>
      </c>
      <c r="DO4">
        <v>0</v>
      </c>
      <c r="GQ4">
        <v>-1</v>
      </c>
      <c r="GR4">
        <v>-1</v>
      </c>
    </row>
    <row r="5" spans="1:200" x14ac:dyDescent="0.2">
      <c r="A5">
        <f>ROW(Source!A28)</f>
        <v>28</v>
      </c>
      <c r="B5">
        <v>70471737</v>
      </c>
      <c r="C5">
        <v>70470194</v>
      </c>
      <c r="D5">
        <v>49510905</v>
      </c>
      <c r="E5">
        <v>70</v>
      </c>
      <c r="F5">
        <v>1</v>
      </c>
      <c r="G5">
        <v>1</v>
      </c>
      <c r="H5">
        <v>1</v>
      </c>
      <c r="I5" t="s">
        <v>261</v>
      </c>
      <c r="J5" t="s">
        <v>6</v>
      </c>
      <c r="K5" t="s">
        <v>262</v>
      </c>
      <c r="L5">
        <v>1191</v>
      </c>
      <c r="N5">
        <v>1013</v>
      </c>
      <c r="O5" t="s">
        <v>263</v>
      </c>
      <c r="P5" t="s">
        <v>263</v>
      </c>
      <c r="Q5">
        <v>1</v>
      </c>
      <c r="W5">
        <v>0</v>
      </c>
      <c r="X5">
        <v>-1417349443</v>
      </c>
      <c r="Y5">
        <f t="shared" si="1"/>
        <v>8.06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36.67</v>
      </c>
      <c r="AL5">
        <v>1</v>
      </c>
      <c r="AM5">
        <v>4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6</v>
      </c>
      <c r="AT5">
        <v>8.06</v>
      </c>
      <c r="AU5" t="s">
        <v>6</v>
      </c>
      <c r="AV5">
        <v>2</v>
      </c>
      <c r="AW5">
        <v>2</v>
      </c>
      <c r="AX5">
        <v>70471774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ROUND(Y5*Source!I28,7)</f>
        <v>1.66842</v>
      </c>
      <c r="CY5">
        <f>AD5</f>
        <v>0</v>
      </c>
      <c r="CZ5">
        <f>AH5</f>
        <v>0</v>
      </c>
      <c r="DA5">
        <f>AL5</f>
        <v>1</v>
      </c>
      <c r="DB5">
        <f t="shared" si="2"/>
        <v>0</v>
      </c>
      <c r="DC5">
        <f t="shared" si="3"/>
        <v>0</v>
      </c>
      <c r="DD5" t="s">
        <v>6</v>
      </c>
      <c r="DE5" t="s">
        <v>6</v>
      </c>
      <c r="DF5">
        <f t="shared" si="0"/>
        <v>0</v>
      </c>
      <c r="DG5">
        <f>ROUND(ROUND(AF5,2)*CX5,2)</f>
        <v>0</v>
      </c>
      <c r="DH5">
        <f>Source!I28*SmtRes!Y5</f>
        <v>1.66842</v>
      </c>
      <c r="DI5">
        <f>AD5</f>
        <v>0</v>
      </c>
      <c r="DJ5">
        <f>EtalonRes!AB5</f>
        <v>0</v>
      </c>
      <c r="DK5">
        <f>Source!BA28</f>
        <v>36.67</v>
      </c>
      <c r="DL5" t="s">
        <v>6</v>
      </c>
      <c r="DM5">
        <v>0</v>
      </c>
      <c r="DN5" t="s">
        <v>6</v>
      </c>
      <c r="DO5">
        <v>0</v>
      </c>
      <c r="GQ5">
        <v>-1</v>
      </c>
      <c r="GR5">
        <v>-1</v>
      </c>
    </row>
    <row r="6" spans="1:200" x14ac:dyDescent="0.2">
      <c r="A6">
        <f>ROW(Source!A28)</f>
        <v>28</v>
      </c>
      <c r="B6">
        <v>70471737</v>
      </c>
      <c r="C6">
        <v>70470194</v>
      </c>
      <c r="D6">
        <v>49672021</v>
      </c>
      <c r="E6">
        <v>1</v>
      </c>
      <c r="F6">
        <v>1</v>
      </c>
      <c r="G6">
        <v>1</v>
      </c>
      <c r="H6">
        <v>2</v>
      </c>
      <c r="I6" t="s">
        <v>272</v>
      </c>
      <c r="J6" t="s">
        <v>273</v>
      </c>
      <c r="K6" t="s">
        <v>274</v>
      </c>
      <c r="L6">
        <v>1367</v>
      </c>
      <c r="N6">
        <v>1011</v>
      </c>
      <c r="O6" t="s">
        <v>267</v>
      </c>
      <c r="P6" t="s">
        <v>267</v>
      </c>
      <c r="Q6">
        <v>1</v>
      </c>
      <c r="W6">
        <v>0</v>
      </c>
      <c r="X6">
        <v>1462623597</v>
      </c>
      <c r="Y6">
        <f t="shared" si="1"/>
        <v>8.06</v>
      </c>
      <c r="AA6">
        <v>0</v>
      </c>
      <c r="AB6">
        <v>669.04</v>
      </c>
      <c r="AC6">
        <v>425.37</v>
      </c>
      <c r="AD6">
        <v>0</v>
      </c>
      <c r="AE6">
        <v>0</v>
      </c>
      <c r="AF6">
        <v>59.47</v>
      </c>
      <c r="AG6">
        <v>11.6</v>
      </c>
      <c r="AH6">
        <v>0</v>
      </c>
      <c r="AI6">
        <v>1</v>
      </c>
      <c r="AJ6">
        <v>11.25</v>
      </c>
      <c r="AK6">
        <v>36.67</v>
      </c>
      <c r="AL6">
        <v>1</v>
      </c>
      <c r="AM6">
        <v>4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6</v>
      </c>
      <c r="AT6">
        <v>8.06</v>
      </c>
      <c r="AU6" t="s">
        <v>6</v>
      </c>
      <c r="AV6">
        <v>0</v>
      </c>
      <c r="AW6">
        <v>2</v>
      </c>
      <c r="AX6">
        <v>70471775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f>ROUND(Y6*Source!I28*DO6,7)</f>
        <v>0</v>
      </c>
      <c r="CX6">
        <f>ROUND(Y6*Source!I28,7)</f>
        <v>1.66842</v>
      </c>
      <c r="CY6">
        <f>AB6</f>
        <v>669.04</v>
      </c>
      <c r="CZ6">
        <f>AF6</f>
        <v>59.47</v>
      </c>
      <c r="DA6">
        <f>AJ6</f>
        <v>11.25</v>
      </c>
      <c r="DB6">
        <f t="shared" si="2"/>
        <v>479.33</v>
      </c>
      <c r="DC6">
        <f t="shared" si="3"/>
        <v>93.5</v>
      </c>
      <c r="DD6" t="s">
        <v>6</v>
      </c>
      <c r="DE6" t="s">
        <v>6</v>
      </c>
      <c r="DF6">
        <f t="shared" si="0"/>
        <v>0</v>
      </c>
      <c r="DG6">
        <f>ROUND(ROUND(AF6*AJ6,2)*CX6,2)</f>
        <v>1116.24</v>
      </c>
      <c r="DH6">
        <f>Source!I28*SmtRes!Y6</f>
        <v>1.66842</v>
      </c>
      <c r="DI6">
        <f>AB6</f>
        <v>669.04</v>
      </c>
      <c r="DJ6">
        <f>EtalonRes!Z6</f>
        <v>59.47</v>
      </c>
      <c r="DK6" t="e">
        <f>Source!BB28</f>
        <v>#REF!</v>
      </c>
      <c r="DL6" t="s">
        <v>6</v>
      </c>
      <c r="DM6">
        <v>0</v>
      </c>
      <c r="DN6" t="s">
        <v>6</v>
      </c>
      <c r="DO6">
        <v>0</v>
      </c>
      <c r="GQ6">
        <v>-1</v>
      </c>
      <c r="GR6">
        <v>-1</v>
      </c>
    </row>
    <row r="7" spans="1:200" x14ac:dyDescent="0.2">
      <c r="A7">
        <f>ROW(Source!A29)</f>
        <v>29</v>
      </c>
      <c r="B7">
        <v>70471737</v>
      </c>
      <c r="C7">
        <v>70470199</v>
      </c>
      <c r="D7">
        <v>31709863</v>
      </c>
      <c r="E7">
        <v>70</v>
      </c>
      <c r="F7">
        <v>1</v>
      </c>
      <c r="G7">
        <v>1</v>
      </c>
      <c r="H7">
        <v>1</v>
      </c>
      <c r="I7" t="s">
        <v>275</v>
      </c>
      <c r="J7" t="s">
        <v>6</v>
      </c>
      <c r="K7" t="s">
        <v>276</v>
      </c>
      <c r="L7">
        <v>1191</v>
      </c>
      <c r="N7">
        <v>1013</v>
      </c>
      <c r="O7" t="s">
        <v>263</v>
      </c>
      <c r="P7" t="s">
        <v>263</v>
      </c>
      <c r="Q7">
        <v>1</v>
      </c>
      <c r="W7">
        <v>0</v>
      </c>
      <c r="X7">
        <v>1049124552</v>
      </c>
      <c r="Y7">
        <f t="shared" si="1"/>
        <v>12.53</v>
      </c>
      <c r="AA7">
        <v>0</v>
      </c>
      <c r="AB7">
        <v>0</v>
      </c>
      <c r="AC7">
        <v>0</v>
      </c>
      <c r="AD7">
        <v>312.8</v>
      </c>
      <c r="AE7">
        <v>0</v>
      </c>
      <c r="AF7">
        <v>0</v>
      </c>
      <c r="AG7">
        <v>0</v>
      </c>
      <c r="AH7">
        <v>8.5299999999999994</v>
      </c>
      <c r="AI7">
        <v>1</v>
      </c>
      <c r="AJ7">
        <v>1</v>
      </c>
      <c r="AK7">
        <v>1</v>
      </c>
      <c r="AL7">
        <v>36.67</v>
      </c>
      <c r="AM7">
        <v>4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6</v>
      </c>
      <c r="AT7">
        <v>12.53</v>
      </c>
      <c r="AU7" t="s">
        <v>6</v>
      </c>
      <c r="AV7">
        <v>1</v>
      </c>
      <c r="AW7">
        <v>2</v>
      </c>
      <c r="AX7">
        <v>70470204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U7">
        <f>ROUND(AT7*Source!I29*AH7*AL7,2)</f>
        <v>8113</v>
      </c>
      <c r="CV7">
        <f>ROUND(Y7*Source!I29,7)</f>
        <v>25.937100000000001</v>
      </c>
      <c r="CW7">
        <v>0</v>
      </c>
      <c r="CX7">
        <f>ROUND(Y7*Source!I29,7)</f>
        <v>25.937100000000001</v>
      </c>
      <c r="CY7">
        <f>AD7</f>
        <v>312.8</v>
      </c>
      <c r="CZ7">
        <f>AH7</f>
        <v>8.5299999999999994</v>
      </c>
      <c r="DA7">
        <f>AL7</f>
        <v>36.67</v>
      </c>
      <c r="DB7">
        <f t="shared" si="2"/>
        <v>106.88</v>
      </c>
      <c r="DC7">
        <f t="shared" si="3"/>
        <v>0</v>
      </c>
      <c r="DD7" t="s">
        <v>6</v>
      </c>
      <c r="DE7" t="s">
        <v>6</v>
      </c>
      <c r="DF7">
        <f t="shared" si="0"/>
        <v>0</v>
      </c>
      <c r="DG7">
        <f>ROUND(ROUND(AF7,2)*CX7,2)</f>
        <v>0</v>
      </c>
      <c r="DH7">
        <f>Source!I29*SmtRes!Y7</f>
        <v>25.937099999999997</v>
      </c>
      <c r="DI7">
        <f>AD7</f>
        <v>312.8</v>
      </c>
      <c r="DJ7">
        <f>EtalonRes!AB7</f>
        <v>8.5299999999999994</v>
      </c>
      <c r="DK7" t="e">
        <f>Source!BA29</f>
        <v>#REF!</v>
      </c>
      <c r="DL7" t="s">
        <v>6</v>
      </c>
      <c r="DM7">
        <v>0</v>
      </c>
      <c r="DN7" t="s">
        <v>6</v>
      </c>
      <c r="DO7">
        <v>0</v>
      </c>
      <c r="GQ7">
        <v>-1</v>
      </c>
      <c r="GR7">
        <v>-1</v>
      </c>
    </row>
    <row r="8" spans="1:200" x14ac:dyDescent="0.2">
      <c r="A8">
        <f>ROW(Source!A29)</f>
        <v>29</v>
      </c>
      <c r="B8">
        <v>70471737</v>
      </c>
      <c r="C8">
        <v>70470199</v>
      </c>
      <c r="D8">
        <v>31709492</v>
      </c>
      <c r="E8">
        <v>70</v>
      </c>
      <c r="F8">
        <v>1</v>
      </c>
      <c r="G8">
        <v>1</v>
      </c>
      <c r="H8">
        <v>1</v>
      </c>
      <c r="I8" t="s">
        <v>261</v>
      </c>
      <c r="J8" t="s">
        <v>6</v>
      </c>
      <c r="K8" t="s">
        <v>262</v>
      </c>
      <c r="L8">
        <v>1191</v>
      </c>
      <c r="N8">
        <v>1013</v>
      </c>
      <c r="O8" t="s">
        <v>263</v>
      </c>
      <c r="P8" t="s">
        <v>263</v>
      </c>
      <c r="Q8">
        <v>1</v>
      </c>
      <c r="W8">
        <v>0</v>
      </c>
      <c r="X8">
        <v>-1417349443</v>
      </c>
      <c r="Y8">
        <f t="shared" si="1"/>
        <v>2.62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36.67</v>
      </c>
      <c r="AL8">
        <v>1</v>
      </c>
      <c r="AM8">
        <v>4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6</v>
      </c>
      <c r="AT8">
        <v>2.62</v>
      </c>
      <c r="AU8" t="s">
        <v>6</v>
      </c>
      <c r="AV8">
        <v>2</v>
      </c>
      <c r="AW8">
        <v>2</v>
      </c>
      <c r="AX8">
        <v>70470205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ROUND(Y8*Source!I29,7)</f>
        <v>5.4234</v>
      </c>
      <c r="CY8">
        <f>AD8</f>
        <v>0</v>
      </c>
      <c r="CZ8">
        <f>AH8</f>
        <v>0</v>
      </c>
      <c r="DA8">
        <f>AL8</f>
        <v>1</v>
      </c>
      <c r="DB8">
        <f t="shared" si="2"/>
        <v>0</v>
      </c>
      <c r="DC8">
        <f t="shared" si="3"/>
        <v>0</v>
      </c>
      <c r="DD8" t="s">
        <v>6</v>
      </c>
      <c r="DE8" t="s">
        <v>6</v>
      </c>
      <c r="DF8">
        <f t="shared" si="0"/>
        <v>0</v>
      </c>
      <c r="DG8">
        <f>ROUND(ROUND(AF8,2)*CX8,2)</f>
        <v>0</v>
      </c>
      <c r="DH8">
        <f>Source!I29*SmtRes!Y8</f>
        <v>5.4234</v>
      </c>
      <c r="DI8">
        <f>AD8</f>
        <v>0</v>
      </c>
      <c r="DJ8">
        <f>EtalonRes!AB8</f>
        <v>0</v>
      </c>
      <c r="DK8" t="e">
        <f>Source!BA29</f>
        <v>#REF!</v>
      </c>
      <c r="DL8" t="s">
        <v>6</v>
      </c>
      <c r="DM8">
        <v>0</v>
      </c>
      <c r="DN8" t="s">
        <v>6</v>
      </c>
      <c r="DO8">
        <v>0</v>
      </c>
      <c r="GQ8">
        <v>-1</v>
      </c>
      <c r="GR8">
        <v>-1</v>
      </c>
    </row>
    <row r="9" spans="1:200" x14ac:dyDescent="0.2">
      <c r="A9">
        <f>ROW(Source!A29)</f>
        <v>29</v>
      </c>
      <c r="B9">
        <v>70471737</v>
      </c>
      <c r="C9">
        <v>70470199</v>
      </c>
      <c r="D9">
        <v>49673046</v>
      </c>
      <c r="E9">
        <v>1</v>
      </c>
      <c r="F9">
        <v>1</v>
      </c>
      <c r="G9">
        <v>1</v>
      </c>
      <c r="H9">
        <v>2</v>
      </c>
      <c r="I9" t="s">
        <v>277</v>
      </c>
      <c r="J9" t="s">
        <v>278</v>
      </c>
      <c r="K9" t="s">
        <v>279</v>
      </c>
      <c r="L9">
        <v>1367</v>
      </c>
      <c r="N9">
        <v>1011</v>
      </c>
      <c r="O9" t="s">
        <v>267</v>
      </c>
      <c r="P9" t="s">
        <v>267</v>
      </c>
      <c r="Q9">
        <v>1</v>
      </c>
      <c r="W9">
        <v>0</v>
      </c>
      <c r="X9">
        <v>-852670241</v>
      </c>
      <c r="Y9">
        <f t="shared" si="1"/>
        <v>10.5</v>
      </c>
      <c r="AA9">
        <v>0</v>
      </c>
      <c r="AB9">
        <v>6.19</v>
      </c>
      <c r="AC9">
        <v>0</v>
      </c>
      <c r="AD9">
        <v>0</v>
      </c>
      <c r="AE9">
        <v>0</v>
      </c>
      <c r="AF9">
        <v>0.55000000000000004</v>
      </c>
      <c r="AG9">
        <v>0</v>
      </c>
      <c r="AH9">
        <v>0</v>
      </c>
      <c r="AI9">
        <v>1</v>
      </c>
      <c r="AJ9">
        <v>11.25</v>
      </c>
      <c r="AK9">
        <v>36.67</v>
      </c>
      <c r="AL9">
        <v>1</v>
      </c>
      <c r="AM9">
        <v>4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6</v>
      </c>
      <c r="AT9">
        <v>10.5</v>
      </c>
      <c r="AU9" t="s">
        <v>6</v>
      </c>
      <c r="AV9">
        <v>0</v>
      </c>
      <c r="AW9">
        <v>2</v>
      </c>
      <c r="AX9">
        <v>70470206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f>ROUND(Y9*Source!I29*DO9,7)</f>
        <v>0</v>
      </c>
      <c r="CX9">
        <f>ROUND(Y9*Source!I29,7)</f>
        <v>21.734999999999999</v>
      </c>
      <c r="CY9">
        <f>AB9</f>
        <v>6.19</v>
      </c>
      <c r="CZ9">
        <f>AF9</f>
        <v>0.55000000000000004</v>
      </c>
      <c r="DA9">
        <f>AJ9</f>
        <v>11.25</v>
      </c>
      <c r="DB9">
        <f t="shared" si="2"/>
        <v>5.78</v>
      </c>
      <c r="DC9">
        <f t="shared" si="3"/>
        <v>0</v>
      </c>
      <c r="DD9" t="s">
        <v>6</v>
      </c>
      <c r="DE9" t="s">
        <v>6</v>
      </c>
      <c r="DF9">
        <f t="shared" si="0"/>
        <v>0</v>
      </c>
      <c r="DG9">
        <f>ROUND(ROUND(AF9*AJ9,2)*CX9,2)</f>
        <v>134.54</v>
      </c>
      <c r="DH9">
        <f>Source!I29*SmtRes!Y9</f>
        <v>21.734999999999999</v>
      </c>
      <c r="DI9">
        <f>AB9</f>
        <v>6.19</v>
      </c>
      <c r="DJ9">
        <f>EtalonRes!Z9</f>
        <v>0.55000000000000004</v>
      </c>
      <c r="DK9" t="e">
        <f>Source!BB29</f>
        <v>#REF!</v>
      </c>
      <c r="DL9" t="s">
        <v>6</v>
      </c>
      <c r="DM9">
        <v>0</v>
      </c>
      <c r="DN9" t="s">
        <v>6</v>
      </c>
      <c r="DO9">
        <v>0</v>
      </c>
      <c r="GQ9">
        <v>-1</v>
      </c>
      <c r="GR9">
        <v>-1</v>
      </c>
    </row>
    <row r="10" spans="1:200" x14ac:dyDescent="0.2">
      <c r="A10">
        <f>ROW(Source!A29)</f>
        <v>29</v>
      </c>
      <c r="B10">
        <v>70471737</v>
      </c>
      <c r="C10">
        <v>70470199</v>
      </c>
      <c r="D10">
        <v>49673729</v>
      </c>
      <c r="E10">
        <v>1</v>
      </c>
      <c r="F10">
        <v>1</v>
      </c>
      <c r="G10">
        <v>1</v>
      </c>
      <c r="H10">
        <v>2</v>
      </c>
      <c r="I10" t="s">
        <v>280</v>
      </c>
      <c r="J10" t="s">
        <v>281</v>
      </c>
      <c r="K10" t="s">
        <v>282</v>
      </c>
      <c r="L10">
        <v>1367</v>
      </c>
      <c r="N10">
        <v>1011</v>
      </c>
      <c r="O10" t="s">
        <v>267</v>
      </c>
      <c r="P10" t="s">
        <v>267</v>
      </c>
      <c r="Q10">
        <v>1</v>
      </c>
      <c r="W10">
        <v>0</v>
      </c>
      <c r="X10">
        <v>-1111507504</v>
      </c>
      <c r="Y10">
        <f t="shared" si="1"/>
        <v>2.62</v>
      </c>
      <c r="AA10">
        <v>0</v>
      </c>
      <c r="AB10">
        <v>1012.5</v>
      </c>
      <c r="AC10">
        <v>368.9</v>
      </c>
      <c r="AD10">
        <v>0</v>
      </c>
      <c r="AE10">
        <v>0</v>
      </c>
      <c r="AF10">
        <v>90</v>
      </c>
      <c r="AG10">
        <v>10.06</v>
      </c>
      <c r="AH10">
        <v>0</v>
      </c>
      <c r="AI10">
        <v>1</v>
      </c>
      <c r="AJ10">
        <v>11.25</v>
      </c>
      <c r="AK10">
        <v>36.67</v>
      </c>
      <c r="AL10">
        <v>1</v>
      </c>
      <c r="AM10">
        <v>4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6</v>
      </c>
      <c r="AT10">
        <v>2.62</v>
      </c>
      <c r="AU10" t="s">
        <v>6</v>
      </c>
      <c r="AV10">
        <v>0</v>
      </c>
      <c r="AW10">
        <v>2</v>
      </c>
      <c r="AX10">
        <v>70470207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f>ROUND(Y10*Source!I29*DO10,7)</f>
        <v>0</v>
      </c>
      <c r="CX10">
        <f>ROUND(Y10*Source!I29,7)</f>
        <v>5.4234</v>
      </c>
      <c r="CY10">
        <f>AB10</f>
        <v>1012.5</v>
      </c>
      <c r="CZ10">
        <f>AF10</f>
        <v>90</v>
      </c>
      <c r="DA10">
        <f>AJ10</f>
        <v>11.25</v>
      </c>
      <c r="DB10">
        <f t="shared" si="2"/>
        <v>235.8</v>
      </c>
      <c r="DC10">
        <f t="shared" si="3"/>
        <v>26.36</v>
      </c>
      <c r="DD10" t="s">
        <v>6</v>
      </c>
      <c r="DE10" t="s">
        <v>6</v>
      </c>
      <c r="DF10">
        <f t="shared" si="0"/>
        <v>0</v>
      </c>
      <c r="DG10">
        <f>ROUND(ROUND(AF10*AJ10,2)*CX10,2)</f>
        <v>5491.19</v>
      </c>
      <c r="DH10">
        <f>Source!I29*SmtRes!Y10</f>
        <v>5.4234</v>
      </c>
      <c r="DI10">
        <f>AB10</f>
        <v>1012.5</v>
      </c>
      <c r="DJ10">
        <f>EtalonRes!Z10</f>
        <v>90</v>
      </c>
      <c r="DK10" t="e">
        <f>Source!BB29</f>
        <v>#REF!</v>
      </c>
      <c r="DL10" t="s">
        <v>6</v>
      </c>
      <c r="DM10">
        <v>0</v>
      </c>
      <c r="DN10" t="s">
        <v>6</v>
      </c>
      <c r="DO10">
        <v>0</v>
      </c>
      <c r="GQ10">
        <v>-1</v>
      </c>
      <c r="GR10">
        <v>-1</v>
      </c>
    </row>
    <row r="11" spans="1:200" x14ac:dyDescent="0.2">
      <c r="A11">
        <f>ROW(Source!A30)</f>
        <v>30</v>
      </c>
      <c r="B11">
        <v>70471737</v>
      </c>
      <c r="C11">
        <v>70470208</v>
      </c>
      <c r="D11">
        <v>49510749</v>
      </c>
      <c r="E11">
        <v>70</v>
      </c>
      <c r="F11">
        <v>1</v>
      </c>
      <c r="G11">
        <v>1</v>
      </c>
      <c r="H11">
        <v>1</v>
      </c>
      <c r="I11" t="s">
        <v>283</v>
      </c>
      <c r="J11" t="s">
        <v>6</v>
      </c>
      <c r="K11" t="s">
        <v>284</v>
      </c>
      <c r="L11">
        <v>1191</v>
      </c>
      <c r="N11">
        <v>1013</v>
      </c>
      <c r="O11" t="s">
        <v>263</v>
      </c>
      <c r="P11" t="s">
        <v>263</v>
      </c>
      <c r="Q11">
        <v>1</v>
      </c>
      <c r="W11">
        <v>0</v>
      </c>
      <c r="X11">
        <v>-2012709214</v>
      </c>
      <c r="Y11">
        <f t="shared" si="1"/>
        <v>5.21</v>
      </c>
      <c r="AA11">
        <v>0</v>
      </c>
      <c r="AB11">
        <v>0</v>
      </c>
      <c r="AC11">
        <v>0</v>
      </c>
      <c r="AD11">
        <v>344.7</v>
      </c>
      <c r="AE11">
        <v>0</v>
      </c>
      <c r="AF11">
        <v>0</v>
      </c>
      <c r="AG11">
        <v>0</v>
      </c>
      <c r="AH11">
        <v>9.4</v>
      </c>
      <c r="AI11">
        <v>1</v>
      </c>
      <c r="AJ11">
        <v>1</v>
      </c>
      <c r="AK11">
        <v>1</v>
      </c>
      <c r="AL11">
        <v>36.67</v>
      </c>
      <c r="AM11">
        <v>4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6</v>
      </c>
      <c r="AT11">
        <v>5.21</v>
      </c>
      <c r="AU11" t="s">
        <v>6</v>
      </c>
      <c r="AV11">
        <v>1</v>
      </c>
      <c r="AW11">
        <v>2</v>
      </c>
      <c r="AX11">
        <v>70471776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U11">
        <f>ROUND(AT11*Source!I30*AH11*AL11,2)</f>
        <v>13612.74</v>
      </c>
      <c r="CV11">
        <f>ROUND(Y11*Source!I30,7)</f>
        <v>39.491799999999998</v>
      </c>
      <c r="CW11">
        <v>0</v>
      </c>
      <c r="CX11">
        <f>ROUND(Y11*Source!I30,7)</f>
        <v>39.491799999999998</v>
      </c>
      <c r="CY11">
        <f>AD11</f>
        <v>344.7</v>
      </c>
      <c r="CZ11">
        <f>AH11</f>
        <v>9.4</v>
      </c>
      <c r="DA11">
        <f>AL11</f>
        <v>36.67</v>
      </c>
      <c r="DB11">
        <f t="shared" si="2"/>
        <v>48.97</v>
      </c>
      <c r="DC11">
        <f t="shared" si="3"/>
        <v>0</v>
      </c>
      <c r="DD11" t="s">
        <v>6</v>
      </c>
      <c r="DE11" t="s">
        <v>6</v>
      </c>
      <c r="DF11">
        <f t="shared" si="0"/>
        <v>0</v>
      </c>
      <c r="DG11">
        <f>ROUND(ROUND(AF11,2)*CX11,2)</f>
        <v>0</v>
      </c>
      <c r="DH11">
        <f>Source!I30*SmtRes!Y11</f>
        <v>39.491799999999998</v>
      </c>
      <c r="DI11">
        <f>AD11</f>
        <v>344.7</v>
      </c>
      <c r="DJ11">
        <f>EtalonRes!AB11</f>
        <v>9.4</v>
      </c>
      <c r="DK11" t="e">
        <f>Source!BA30</f>
        <v>#REF!</v>
      </c>
      <c r="DL11" t="s">
        <v>6</v>
      </c>
      <c r="DM11">
        <v>0</v>
      </c>
      <c r="DN11" t="s">
        <v>6</v>
      </c>
      <c r="DO11">
        <v>0</v>
      </c>
      <c r="GQ11">
        <v>-1</v>
      </c>
      <c r="GR11">
        <v>-1</v>
      </c>
    </row>
    <row r="12" spans="1:200" x14ac:dyDescent="0.2">
      <c r="A12">
        <f>ROW(Source!A30)</f>
        <v>30</v>
      </c>
      <c r="B12">
        <v>70471737</v>
      </c>
      <c r="C12">
        <v>70470208</v>
      </c>
      <c r="D12">
        <v>49510905</v>
      </c>
      <c r="E12">
        <v>70</v>
      </c>
      <c r="F12">
        <v>1</v>
      </c>
      <c r="G12">
        <v>1</v>
      </c>
      <c r="H12">
        <v>1</v>
      </c>
      <c r="I12" t="s">
        <v>261</v>
      </c>
      <c r="J12" t="s">
        <v>6</v>
      </c>
      <c r="K12" t="s">
        <v>262</v>
      </c>
      <c r="L12">
        <v>1191</v>
      </c>
      <c r="N12">
        <v>1013</v>
      </c>
      <c r="O12" t="s">
        <v>263</v>
      </c>
      <c r="P12" t="s">
        <v>263</v>
      </c>
      <c r="Q12">
        <v>1</v>
      </c>
      <c r="W12">
        <v>0</v>
      </c>
      <c r="X12">
        <v>-1417349443</v>
      </c>
      <c r="Y12">
        <f t="shared" si="1"/>
        <v>3.46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36.67</v>
      </c>
      <c r="AL12">
        <v>1</v>
      </c>
      <c r="AM12">
        <v>4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6</v>
      </c>
      <c r="AT12">
        <v>3.46</v>
      </c>
      <c r="AU12" t="s">
        <v>6</v>
      </c>
      <c r="AV12">
        <v>2</v>
      </c>
      <c r="AW12">
        <v>2</v>
      </c>
      <c r="AX12">
        <v>70471777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ROUND(Y12*Source!I30,7)</f>
        <v>26.226800000000001</v>
      </c>
      <c r="CY12">
        <f>AD12</f>
        <v>0</v>
      </c>
      <c r="CZ12">
        <f>AH12</f>
        <v>0</v>
      </c>
      <c r="DA12">
        <f>AL12</f>
        <v>1</v>
      </c>
      <c r="DB12">
        <f t="shared" si="2"/>
        <v>0</v>
      </c>
      <c r="DC12">
        <f t="shared" si="3"/>
        <v>0</v>
      </c>
      <c r="DD12" t="s">
        <v>6</v>
      </c>
      <c r="DE12" t="s">
        <v>6</v>
      </c>
      <c r="DF12">
        <f t="shared" si="0"/>
        <v>0</v>
      </c>
      <c r="DG12">
        <f>ROUND(ROUND(AF12,2)*CX12,2)</f>
        <v>0</v>
      </c>
      <c r="DH12">
        <f>Source!I30*SmtRes!Y12</f>
        <v>26.226800000000001</v>
      </c>
      <c r="DI12">
        <f>AD12</f>
        <v>0</v>
      </c>
      <c r="DJ12">
        <f>EtalonRes!AB12</f>
        <v>0</v>
      </c>
      <c r="DK12" t="e">
        <f>Source!BA30</f>
        <v>#REF!</v>
      </c>
      <c r="DL12" t="s">
        <v>6</v>
      </c>
      <c r="DM12">
        <v>0</v>
      </c>
      <c r="DN12" t="s">
        <v>6</v>
      </c>
      <c r="DO12">
        <v>0</v>
      </c>
      <c r="GQ12">
        <v>-1</v>
      </c>
      <c r="GR12">
        <v>-1</v>
      </c>
    </row>
    <row r="13" spans="1:200" x14ac:dyDescent="0.2">
      <c r="A13">
        <f>ROW(Source!A30)</f>
        <v>30</v>
      </c>
      <c r="B13">
        <v>70471737</v>
      </c>
      <c r="C13">
        <v>70470208</v>
      </c>
      <c r="D13">
        <v>49672573</v>
      </c>
      <c r="E13">
        <v>1</v>
      </c>
      <c r="F13">
        <v>1</v>
      </c>
      <c r="G13">
        <v>1</v>
      </c>
      <c r="H13">
        <v>2</v>
      </c>
      <c r="I13" t="s">
        <v>285</v>
      </c>
      <c r="J13" t="s">
        <v>286</v>
      </c>
      <c r="K13" t="s">
        <v>287</v>
      </c>
      <c r="L13">
        <v>1367</v>
      </c>
      <c r="N13">
        <v>1011</v>
      </c>
      <c r="O13" t="s">
        <v>267</v>
      </c>
      <c r="P13" t="s">
        <v>267</v>
      </c>
      <c r="Q13">
        <v>1</v>
      </c>
      <c r="W13">
        <v>0</v>
      </c>
      <c r="X13">
        <v>-430484415</v>
      </c>
      <c r="Y13">
        <f t="shared" si="1"/>
        <v>1.73</v>
      </c>
      <c r="AA13">
        <v>0</v>
      </c>
      <c r="AB13">
        <v>1298.25</v>
      </c>
      <c r="AC13">
        <v>495.05</v>
      </c>
      <c r="AD13">
        <v>0</v>
      </c>
      <c r="AE13">
        <v>0</v>
      </c>
      <c r="AF13">
        <v>115.4</v>
      </c>
      <c r="AG13">
        <v>13.5</v>
      </c>
      <c r="AH13">
        <v>0</v>
      </c>
      <c r="AI13">
        <v>1</v>
      </c>
      <c r="AJ13">
        <v>11.25</v>
      </c>
      <c r="AK13">
        <v>36.67</v>
      </c>
      <c r="AL13">
        <v>1</v>
      </c>
      <c r="AM13">
        <v>4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6</v>
      </c>
      <c r="AT13">
        <v>1.73</v>
      </c>
      <c r="AU13" t="s">
        <v>6</v>
      </c>
      <c r="AV13">
        <v>0</v>
      </c>
      <c r="AW13">
        <v>2</v>
      </c>
      <c r="AX13">
        <v>70471778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f>ROUND(Y13*Source!I30*DO13,7)</f>
        <v>0</v>
      </c>
      <c r="CX13">
        <f>ROUND(Y13*Source!I30,7)</f>
        <v>13.1134</v>
      </c>
      <c r="CY13">
        <f>AB13</f>
        <v>1298.25</v>
      </c>
      <c r="CZ13">
        <f>AF13</f>
        <v>115.4</v>
      </c>
      <c r="DA13">
        <f>AJ13</f>
        <v>11.25</v>
      </c>
      <c r="DB13">
        <f t="shared" si="2"/>
        <v>199.64</v>
      </c>
      <c r="DC13">
        <f t="shared" si="3"/>
        <v>23.36</v>
      </c>
      <c r="DD13" t="s">
        <v>6</v>
      </c>
      <c r="DE13" t="s">
        <v>6</v>
      </c>
      <c r="DF13">
        <f t="shared" si="0"/>
        <v>0</v>
      </c>
      <c r="DG13">
        <f>ROUND(ROUND(AF13*AJ13,2)*CX13,2)</f>
        <v>17024.47</v>
      </c>
      <c r="DH13">
        <f>Source!I30*SmtRes!Y13</f>
        <v>13.1134</v>
      </c>
      <c r="DI13">
        <f>AB13</f>
        <v>1298.25</v>
      </c>
      <c r="DJ13">
        <f>EtalonRes!Z13</f>
        <v>115.4</v>
      </c>
      <c r="DK13" t="e">
        <f>Source!BB30</f>
        <v>#REF!</v>
      </c>
      <c r="DL13" t="s">
        <v>6</v>
      </c>
      <c r="DM13">
        <v>0</v>
      </c>
      <c r="DN13" t="s">
        <v>6</v>
      </c>
      <c r="DO13">
        <v>0</v>
      </c>
      <c r="GQ13">
        <v>-1</v>
      </c>
      <c r="GR13">
        <v>-1</v>
      </c>
    </row>
    <row r="14" spans="1:200" x14ac:dyDescent="0.2">
      <c r="A14">
        <f>ROW(Source!A30)</f>
        <v>30</v>
      </c>
      <c r="B14">
        <v>70471737</v>
      </c>
      <c r="C14">
        <v>70470208</v>
      </c>
      <c r="D14">
        <v>49673503</v>
      </c>
      <c r="E14">
        <v>1</v>
      </c>
      <c r="F14">
        <v>1</v>
      </c>
      <c r="G14">
        <v>1</v>
      </c>
      <c r="H14">
        <v>2</v>
      </c>
      <c r="I14" t="s">
        <v>288</v>
      </c>
      <c r="J14" t="s">
        <v>289</v>
      </c>
      <c r="K14" t="s">
        <v>290</v>
      </c>
      <c r="L14">
        <v>1367</v>
      </c>
      <c r="N14">
        <v>1011</v>
      </c>
      <c r="O14" t="s">
        <v>267</v>
      </c>
      <c r="P14" t="s">
        <v>267</v>
      </c>
      <c r="Q14">
        <v>1</v>
      </c>
      <c r="W14">
        <v>0</v>
      </c>
      <c r="X14">
        <v>509054691</v>
      </c>
      <c r="Y14">
        <f t="shared" si="1"/>
        <v>1.73</v>
      </c>
      <c r="AA14">
        <v>0</v>
      </c>
      <c r="AB14">
        <v>739.24</v>
      </c>
      <c r="AC14">
        <v>425.37</v>
      </c>
      <c r="AD14">
        <v>0</v>
      </c>
      <c r="AE14">
        <v>0</v>
      </c>
      <c r="AF14">
        <v>65.709999999999994</v>
      </c>
      <c r="AG14">
        <v>11.6</v>
      </c>
      <c r="AH14">
        <v>0</v>
      </c>
      <c r="AI14">
        <v>1</v>
      </c>
      <c r="AJ14">
        <v>11.25</v>
      </c>
      <c r="AK14">
        <v>36.67</v>
      </c>
      <c r="AL14">
        <v>1</v>
      </c>
      <c r="AM14">
        <v>4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6</v>
      </c>
      <c r="AT14">
        <v>1.73</v>
      </c>
      <c r="AU14" t="s">
        <v>6</v>
      </c>
      <c r="AV14">
        <v>0</v>
      </c>
      <c r="AW14">
        <v>2</v>
      </c>
      <c r="AX14">
        <v>70471779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f>ROUND(Y14*Source!I30*DO14,7)</f>
        <v>0</v>
      </c>
      <c r="CX14">
        <f>ROUND(Y14*Source!I30,7)</f>
        <v>13.1134</v>
      </c>
      <c r="CY14">
        <f>AB14</f>
        <v>739.24</v>
      </c>
      <c r="CZ14">
        <f>AF14</f>
        <v>65.709999999999994</v>
      </c>
      <c r="DA14">
        <f>AJ14</f>
        <v>11.25</v>
      </c>
      <c r="DB14">
        <f t="shared" si="2"/>
        <v>113.68</v>
      </c>
      <c r="DC14">
        <f t="shared" si="3"/>
        <v>20.07</v>
      </c>
      <c r="DD14" t="s">
        <v>6</v>
      </c>
      <c r="DE14" t="s">
        <v>6</v>
      </c>
      <c r="DF14">
        <f t="shared" si="0"/>
        <v>0</v>
      </c>
      <c r="DG14">
        <f>ROUND(ROUND(AF14*AJ14,2)*CX14,2)</f>
        <v>9693.9500000000007</v>
      </c>
      <c r="DH14">
        <f>Source!I30*SmtRes!Y14</f>
        <v>13.1134</v>
      </c>
      <c r="DI14">
        <f>AB14</f>
        <v>739.24</v>
      </c>
      <c r="DJ14">
        <f>EtalonRes!Z14</f>
        <v>65.709999999999994</v>
      </c>
      <c r="DK14" t="e">
        <f>Source!BB30</f>
        <v>#REF!</v>
      </c>
      <c r="DL14" t="s">
        <v>6</v>
      </c>
      <c r="DM14">
        <v>0</v>
      </c>
      <c r="DN14" t="s">
        <v>6</v>
      </c>
      <c r="DO14">
        <v>0</v>
      </c>
      <c r="GQ14">
        <v>-1</v>
      </c>
      <c r="GR14">
        <v>-1</v>
      </c>
    </row>
    <row r="15" spans="1:200" x14ac:dyDescent="0.2">
      <c r="A15">
        <f>ROW(Source!A30)</f>
        <v>30</v>
      </c>
      <c r="B15">
        <v>70471737</v>
      </c>
      <c r="C15">
        <v>70470208</v>
      </c>
      <c r="D15">
        <v>49515638</v>
      </c>
      <c r="E15">
        <v>70</v>
      </c>
      <c r="F15">
        <v>1</v>
      </c>
      <c r="G15">
        <v>1</v>
      </c>
      <c r="H15">
        <v>3</v>
      </c>
      <c r="I15" t="s">
        <v>291</v>
      </c>
      <c r="J15" t="s">
        <v>6</v>
      </c>
      <c r="K15" t="s">
        <v>292</v>
      </c>
      <c r="L15">
        <v>1374</v>
      </c>
      <c r="N15">
        <v>1013</v>
      </c>
      <c r="O15" t="s">
        <v>293</v>
      </c>
      <c r="P15" t="s">
        <v>293</v>
      </c>
      <c r="Q15">
        <v>1</v>
      </c>
      <c r="W15">
        <v>0</v>
      </c>
      <c r="X15">
        <v>-1731369543</v>
      </c>
      <c r="Y15" s="60">
        <f>'5.Ведомость_списания'!F35</f>
        <v>0.98</v>
      </c>
      <c r="AA15">
        <v>5.09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5.09</v>
      </c>
      <c r="AJ15">
        <v>1</v>
      </c>
      <c r="AK15">
        <v>1</v>
      </c>
      <c r="AL15">
        <v>1</v>
      </c>
      <c r="AM15">
        <v>4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6</v>
      </c>
      <c r="AT15">
        <v>0.98</v>
      </c>
      <c r="AU15" t="s">
        <v>6</v>
      </c>
      <c r="AV15">
        <v>0</v>
      </c>
      <c r="AW15">
        <v>2</v>
      </c>
      <c r="AX15">
        <v>70471780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ROUND(Y15*Source!I30,7)</f>
        <v>7.4283999999999999</v>
      </c>
      <c r="CY15">
        <f>AA15</f>
        <v>5.09</v>
      </c>
      <c r="CZ15">
        <f>AE15</f>
        <v>1</v>
      </c>
      <c r="DA15">
        <f>AI15</f>
        <v>5.09</v>
      </c>
      <c r="DB15">
        <f t="shared" si="2"/>
        <v>0.98</v>
      </c>
      <c r="DC15">
        <f t="shared" si="3"/>
        <v>0</v>
      </c>
      <c r="DD15" t="s">
        <v>6</v>
      </c>
      <c r="DE15" t="s">
        <v>6</v>
      </c>
      <c r="DF15">
        <f>ROUND(ROUND(AE15*AI15,2)*CX15,2)</f>
        <v>37.81</v>
      </c>
      <c r="DG15">
        <f>ROUND(ROUND(AF15,2)*CX15,2)</f>
        <v>0</v>
      </c>
      <c r="DH15">
        <f>Source!I30*SmtRes!Y15</f>
        <v>7.4283999999999999</v>
      </c>
      <c r="DI15">
        <f>AA15</f>
        <v>5.09</v>
      </c>
      <c r="DJ15">
        <f>EtalonRes!Y15</f>
        <v>1</v>
      </c>
      <c r="DK15" t="e">
        <f>Source!BC30</f>
        <v>#REF!</v>
      </c>
      <c r="DL15" t="s">
        <v>6</v>
      </c>
      <c r="DM15">
        <v>0</v>
      </c>
      <c r="DN15" t="s">
        <v>6</v>
      </c>
      <c r="DO15">
        <v>0</v>
      </c>
      <c r="GQ15">
        <v>-1</v>
      </c>
      <c r="GR15">
        <v>-1</v>
      </c>
    </row>
    <row r="16" spans="1:200" x14ac:dyDescent="0.2">
      <c r="A16">
        <f>ROW(Source!A31)</f>
        <v>31</v>
      </c>
      <c r="B16">
        <v>70471737</v>
      </c>
      <c r="C16">
        <v>70470219</v>
      </c>
      <c r="D16">
        <v>49510749</v>
      </c>
      <c r="E16">
        <v>70</v>
      </c>
      <c r="F16">
        <v>1</v>
      </c>
      <c r="G16">
        <v>1</v>
      </c>
      <c r="H16">
        <v>1</v>
      </c>
      <c r="I16" t="s">
        <v>283</v>
      </c>
      <c r="J16" t="s">
        <v>6</v>
      </c>
      <c r="K16" t="s">
        <v>284</v>
      </c>
      <c r="L16">
        <v>1191</v>
      </c>
      <c r="N16">
        <v>1013</v>
      </c>
      <c r="O16" t="s">
        <v>263</v>
      </c>
      <c r="P16" t="s">
        <v>263</v>
      </c>
      <c r="Q16">
        <v>1</v>
      </c>
      <c r="W16">
        <v>0</v>
      </c>
      <c r="X16">
        <v>-2012709214</v>
      </c>
      <c r="Y16">
        <f t="shared" si="1"/>
        <v>2.72</v>
      </c>
      <c r="AA16">
        <v>0</v>
      </c>
      <c r="AB16">
        <v>0</v>
      </c>
      <c r="AC16">
        <v>0</v>
      </c>
      <c r="AD16">
        <v>344.7</v>
      </c>
      <c r="AE16">
        <v>0</v>
      </c>
      <c r="AF16">
        <v>0</v>
      </c>
      <c r="AG16">
        <v>0</v>
      </c>
      <c r="AH16">
        <v>9.4</v>
      </c>
      <c r="AI16">
        <v>1</v>
      </c>
      <c r="AJ16">
        <v>1</v>
      </c>
      <c r="AK16">
        <v>1</v>
      </c>
      <c r="AL16">
        <v>36.67</v>
      </c>
      <c r="AM16">
        <v>4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6</v>
      </c>
      <c r="AT16">
        <v>2.72</v>
      </c>
      <c r="AU16" t="s">
        <v>6</v>
      </c>
      <c r="AV16">
        <v>1</v>
      </c>
      <c r="AW16">
        <v>2</v>
      </c>
      <c r="AX16">
        <v>70471781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U16">
        <f>ROUND(AT16*Source!I31*AH16*AL16,2)</f>
        <v>19407.88</v>
      </c>
      <c r="CV16">
        <f>ROUND(Y16*Source!I31,7)</f>
        <v>56.304000000000002</v>
      </c>
      <c r="CW16">
        <v>0</v>
      </c>
      <c r="CX16">
        <f>ROUND(Y16*Source!I31,7)</f>
        <v>56.304000000000002</v>
      </c>
      <c r="CY16">
        <f>AD16</f>
        <v>344.7</v>
      </c>
      <c r="CZ16">
        <f>AH16</f>
        <v>9.4</v>
      </c>
      <c r="DA16">
        <f>AL16</f>
        <v>36.67</v>
      </c>
      <c r="DB16">
        <f t="shared" si="2"/>
        <v>25.57</v>
      </c>
      <c r="DC16">
        <f t="shared" si="3"/>
        <v>0</v>
      </c>
      <c r="DD16" t="s">
        <v>6</v>
      </c>
      <c r="DE16" t="s">
        <v>6</v>
      </c>
      <c r="DF16">
        <f>ROUND(ROUND(AE16,2)*CX16,2)</f>
        <v>0</v>
      </c>
      <c r="DG16">
        <f>ROUND(ROUND(AF16,2)*CX16,2)</f>
        <v>0</v>
      </c>
      <c r="DH16">
        <f>Source!I31*SmtRes!Y16</f>
        <v>56.304000000000002</v>
      </c>
      <c r="DI16">
        <f>AD16</f>
        <v>344.7</v>
      </c>
      <c r="DJ16">
        <f>EtalonRes!AB16</f>
        <v>9.4</v>
      </c>
      <c r="DK16" t="e">
        <f>Source!BA31</f>
        <v>#REF!</v>
      </c>
      <c r="DL16" t="s">
        <v>6</v>
      </c>
      <c r="DM16">
        <v>0</v>
      </c>
      <c r="DN16" t="s">
        <v>6</v>
      </c>
      <c r="DO16">
        <v>0</v>
      </c>
      <c r="GQ16">
        <v>-1</v>
      </c>
      <c r="GR16">
        <v>-1</v>
      </c>
    </row>
    <row r="17" spans="1:200" x14ac:dyDescent="0.2">
      <c r="A17">
        <f>ROW(Source!A31)</f>
        <v>31</v>
      </c>
      <c r="B17">
        <v>70471737</v>
      </c>
      <c r="C17">
        <v>70470219</v>
      </c>
      <c r="D17">
        <v>49510905</v>
      </c>
      <c r="E17">
        <v>70</v>
      </c>
      <c r="F17">
        <v>1</v>
      </c>
      <c r="G17">
        <v>1</v>
      </c>
      <c r="H17">
        <v>1</v>
      </c>
      <c r="I17" t="s">
        <v>261</v>
      </c>
      <c r="J17" t="s">
        <v>6</v>
      </c>
      <c r="K17" t="s">
        <v>262</v>
      </c>
      <c r="L17">
        <v>1191</v>
      </c>
      <c r="N17">
        <v>1013</v>
      </c>
      <c r="O17" t="s">
        <v>263</v>
      </c>
      <c r="P17" t="s">
        <v>263</v>
      </c>
      <c r="Q17">
        <v>1</v>
      </c>
      <c r="W17">
        <v>0</v>
      </c>
      <c r="X17">
        <v>-1417349443</v>
      </c>
      <c r="Y17">
        <f t="shared" si="1"/>
        <v>1.82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36.67</v>
      </c>
      <c r="AL17">
        <v>1</v>
      </c>
      <c r="AM17">
        <v>4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6</v>
      </c>
      <c r="AT17">
        <v>1.82</v>
      </c>
      <c r="AU17" t="s">
        <v>6</v>
      </c>
      <c r="AV17">
        <v>2</v>
      </c>
      <c r="AW17">
        <v>2</v>
      </c>
      <c r="AX17">
        <v>70471782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ROUND(Y17*Source!I31,7)</f>
        <v>37.673999999999999</v>
      </c>
      <c r="CY17">
        <f>AD17</f>
        <v>0</v>
      </c>
      <c r="CZ17">
        <f>AH17</f>
        <v>0</v>
      </c>
      <c r="DA17">
        <f>AL17</f>
        <v>1</v>
      </c>
      <c r="DB17">
        <f t="shared" si="2"/>
        <v>0</v>
      </c>
      <c r="DC17">
        <f t="shared" si="3"/>
        <v>0</v>
      </c>
      <c r="DD17" t="s">
        <v>6</v>
      </c>
      <c r="DE17" t="s">
        <v>6</v>
      </c>
      <c r="DF17">
        <f>ROUND(ROUND(AE17,2)*CX17,2)</f>
        <v>0</v>
      </c>
      <c r="DG17">
        <f>ROUND(ROUND(AF17,2)*CX17,2)</f>
        <v>0</v>
      </c>
      <c r="DH17">
        <f>Source!I31*SmtRes!Y17</f>
        <v>37.673999999999999</v>
      </c>
      <c r="DI17">
        <f>AD17</f>
        <v>0</v>
      </c>
      <c r="DJ17">
        <f>EtalonRes!AB17</f>
        <v>0</v>
      </c>
      <c r="DK17" t="e">
        <f>Source!BA31</f>
        <v>#REF!</v>
      </c>
      <c r="DL17" t="s">
        <v>6</v>
      </c>
      <c r="DM17">
        <v>0</v>
      </c>
      <c r="DN17" t="s">
        <v>6</v>
      </c>
      <c r="DO17">
        <v>0</v>
      </c>
      <c r="GQ17">
        <v>-1</v>
      </c>
      <c r="GR17">
        <v>-1</v>
      </c>
    </row>
    <row r="18" spans="1:200" x14ac:dyDescent="0.2">
      <c r="A18">
        <f>ROW(Source!A31)</f>
        <v>31</v>
      </c>
      <c r="B18">
        <v>70471737</v>
      </c>
      <c r="C18">
        <v>70470219</v>
      </c>
      <c r="D18">
        <v>49672573</v>
      </c>
      <c r="E18">
        <v>1</v>
      </c>
      <c r="F18">
        <v>1</v>
      </c>
      <c r="G18">
        <v>1</v>
      </c>
      <c r="H18">
        <v>2</v>
      </c>
      <c r="I18" t="s">
        <v>285</v>
      </c>
      <c r="J18" t="s">
        <v>286</v>
      </c>
      <c r="K18" t="s">
        <v>287</v>
      </c>
      <c r="L18">
        <v>1367</v>
      </c>
      <c r="N18">
        <v>1011</v>
      </c>
      <c r="O18" t="s">
        <v>267</v>
      </c>
      <c r="P18" t="s">
        <v>267</v>
      </c>
      <c r="Q18">
        <v>1</v>
      </c>
      <c r="W18">
        <v>0</v>
      </c>
      <c r="X18">
        <v>-430484415</v>
      </c>
      <c r="Y18">
        <f t="shared" si="1"/>
        <v>0.91</v>
      </c>
      <c r="AA18">
        <v>0</v>
      </c>
      <c r="AB18">
        <v>1298.25</v>
      </c>
      <c r="AC18">
        <v>495.05</v>
      </c>
      <c r="AD18">
        <v>0</v>
      </c>
      <c r="AE18">
        <v>0</v>
      </c>
      <c r="AF18">
        <v>115.4</v>
      </c>
      <c r="AG18">
        <v>13.5</v>
      </c>
      <c r="AH18">
        <v>0</v>
      </c>
      <c r="AI18">
        <v>1</v>
      </c>
      <c r="AJ18">
        <v>11.25</v>
      </c>
      <c r="AK18">
        <v>36.67</v>
      </c>
      <c r="AL18">
        <v>1</v>
      </c>
      <c r="AM18">
        <v>4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6</v>
      </c>
      <c r="AT18">
        <v>0.91</v>
      </c>
      <c r="AU18" t="s">
        <v>6</v>
      </c>
      <c r="AV18">
        <v>0</v>
      </c>
      <c r="AW18">
        <v>2</v>
      </c>
      <c r="AX18">
        <v>70471783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f>ROUND(Y18*Source!I31*DO18,7)</f>
        <v>0</v>
      </c>
      <c r="CX18">
        <f>ROUND(Y18*Source!I31,7)</f>
        <v>18.837</v>
      </c>
      <c r="CY18">
        <f>AB18</f>
        <v>1298.25</v>
      </c>
      <c r="CZ18">
        <f>AF18</f>
        <v>115.4</v>
      </c>
      <c r="DA18">
        <f>AJ18</f>
        <v>11.25</v>
      </c>
      <c r="DB18">
        <f t="shared" si="2"/>
        <v>105.01</v>
      </c>
      <c r="DC18">
        <f t="shared" si="3"/>
        <v>12.29</v>
      </c>
      <c r="DD18" t="s">
        <v>6</v>
      </c>
      <c r="DE18" t="s">
        <v>6</v>
      </c>
      <c r="DF18">
        <f>ROUND(ROUND(AE18,2)*CX18,2)</f>
        <v>0</v>
      </c>
      <c r="DG18">
        <f>ROUND(ROUND(AF18*AJ18,2)*CX18,2)</f>
        <v>24455.14</v>
      </c>
      <c r="DH18">
        <f>Source!I31*SmtRes!Y18</f>
        <v>18.837</v>
      </c>
      <c r="DI18">
        <f>AB18</f>
        <v>1298.25</v>
      </c>
      <c r="DJ18">
        <f>EtalonRes!Z18</f>
        <v>115.4</v>
      </c>
      <c r="DK18" t="e">
        <f>Source!BB31</f>
        <v>#REF!</v>
      </c>
      <c r="DL18" t="s">
        <v>6</v>
      </c>
      <c r="DM18">
        <v>0</v>
      </c>
      <c r="DN18" t="s">
        <v>6</v>
      </c>
      <c r="DO18">
        <v>0</v>
      </c>
      <c r="GQ18">
        <v>-1</v>
      </c>
      <c r="GR18">
        <v>-1</v>
      </c>
    </row>
    <row r="19" spans="1:200" x14ac:dyDescent="0.2">
      <c r="A19">
        <f>ROW(Source!A31)</f>
        <v>31</v>
      </c>
      <c r="B19">
        <v>70471737</v>
      </c>
      <c r="C19">
        <v>70470219</v>
      </c>
      <c r="D19">
        <v>49673503</v>
      </c>
      <c r="E19">
        <v>1</v>
      </c>
      <c r="F19">
        <v>1</v>
      </c>
      <c r="G19">
        <v>1</v>
      </c>
      <c r="H19">
        <v>2</v>
      </c>
      <c r="I19" t="s">
        <v>288</v>
      </c>
      <c r="J19" t="s">
        <v>289</v>
      </c>
      <c r="K19" t="s">
        <v>290</v>
      </c>
      <c r="L19">
        <v>1367</v>
      </c>
      <c r="N19">
        <v>1011</v>
      </c>
      <c r="O19" t="s">
        <v>267</v>
      </c>
      <c r="P19" t="s">
        <v>267</v>
      </c>
      <c r="Q19">
        <v>1</v>
      </c>
      <c r="W19">
        <v>0</v>
      </c>
      <c r="X19">
        <v>509054691</v>
      </c>
      <c r="Y19">
        <f t="shared" si="1"/>
        <v>0.91</v>
      </c>
      <c r="AA19">
        <v>0</v>
      </c>
      <c r="AB19">
        <v>739.24</v>
      </c>
      <c r="AC19">
        <v>425.37</v>
      </c>
      <c r="AD19">
        <v>0</v>
      </c>
      <c r="AE19">
        <v>0</v>
      </c>
      <c r="AF19">
        <v>65.709999999999994</v>
      </c>
      <c r="AG19">
        <v>11.6</v>
      </c>
      <c r="AH19">
        <v>0</v>
      </c>
      <c r="AI19">
        <v>1</v>
      </c>
      <c r="AJ19">
        <v>11.25</v>
      </c>
      <c r="AK19">
        <v>36.67</v>
      </c>
      <c r="AL19">
        <v>1</v>
      </c>
      <c r="AM19">
        <v>4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6</v>
      </c>
      <c r="AT19">
        <v>0.91</v>
      </c>
      <c r="AU19" t="s">
        <v>6</v>
      </c>
      <c r="AV19">
        <v>0</v>
      </c>
      <c r="AW19">
        <v>2</v>
      </c>
      <c r="AX19">
        <v>70471784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f>ROUND(Y19*Source!I31*DO19,7)</f>
        <v>0</v>
      </c>
      <c r="CX19">
        <f>ROUND(Y19*Source!I31,7)</f>
        <v>18.837</v>
      </c>
      <c r="CY19">
        <f>AB19</f>
        <v>739.24</v>
      </c>
      <c r="CZ19">
        <f>AF19</f>
        <v>65.709999999999994</v>
      </c>
      <c r="DA19">
        <f>AJ19</f>
        <v>11.25</v>
      </c>
      <c r="DB19">
        <f t="shared" si="2"/>
        <v>59.8</v>
      </c>
      <c r="DC19">
        <f t="shared" si="3"/>
        <v>10.56</v>
      </c>
      <c r="DD19" t="s">
        <v>6</v>
      </c>
      <c r="DE19" t="s">
        <v>6</v>
      </c>
      <c r="DF19">
        <f>ROUND(ROUND(AE19,2)*CX19,2)</f>
        <v>0</v>
      </c>
      <c r="DG19">
        <f>ROUND(ROUND(AF19*AJ19,2)*CX19,2)</f>
        <v>13925.06</v>
      </c>
      <c r="DH19">
        <f>Source!I31*SmtRes!Y19</f>
        <v>18.837</v>
      </c>
      <c r="DI19">
        <f>AB19</f>
        <v>739.24</v>
      </c>
      <c r="DJ19">
        <f>EtalonRes!Z19</f>
        <v>65.709999999999994</v>
      </c>
      <c r="DK19" t="e">
        <f>Source!BB31</f>
        <v>#REF!</v>
      </c>
      <c r="DL19" t="s">
        <v>6</v>
      </c>
      <c r="DM19">
        <v>0</v>
      </c>
      <c r="DN19" t="s">
        <v>6</v>
      </c>
      <c r="DO19">
        <v>0</v>
      </c>
      <c r="GQ19">
        <v>-1</v>
      </c>
      <c r="GR19">
        <v>-1</v>
      </c>
    </row>
    <row r="20" spans="1:200" x14ac:dyDescent="0.2">
      <c r="A20">
        <f>ROW(Source!A31)</f>
        <v>31</v>
      </c>
      <c r="B20">
        <v>70471737</v>
      </c>
      <c r="C20">
        <v>70470219</v>
      </c>
      <c r="D20">
        <v>49515638</v>
      </c>
      <c r="E20">
        <v>70</v>
      </c>
      <c r="F20">
        <v>1</v>
      </c>
      <c r="G20">
        <v>1</v>
      </c>
      <c r="H20">
        <v>3</v>
      </c>
      <c r="I20" t="s">
        <v>291</v>
      </c>
      <c r="J20" t="s">
        <v>6</v>
      </c>
      <c r="K20" t="s">
        <v>292</v>
      </c>
      <c r="L20">
        <v>1374</v>
      </c>
      <c r="N20">
        <v>1013</v>
      </c>
      <c r="O20" t="s">
        <v>293</v>
      </c>
      <c r="P20" t="s">
        <v>293</v>
      </c>
      <c r="Q20">
        <v>1</v>
      </c>
      <c r="W20">
        <v>0</v>
      </c>
      <c r="X20">
        <v>-1731369543</v>
      </c>
      <c r="Y20" s="60">
        <f>'5.Ведомость_списания'!F37</f>
        <v>0.51</v>
      </c>
      <c r="AA20">
        <v>5.09</v>
      </c>
      <c r="AB20">
        <v>0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0</v>
      </c>
      <c r="AI20">
        <v>5.09</v>
      </c>
      <c r="AJ20">
        <v>1</v>
      </c>
      <c r="AK20">
        <v>1</v>
      </c>
      <c r="AL20">
        <v>1</v>
      </c>
      <c r="AM20">
        <v>4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6</v>
      </c>
      <c r="AT20">
        <v>0.51</v>
      </c>
      <c r="AU20" t="s">
        <v>6</v>
      </c>
      <c r="AV20">
        <v>0</v>
      </c>
      <c r="AW20">
        <v>2</v>
      </c>
      <c r="AX20">
        <v>70471785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ROUND(Y20*Source!I31,7)</f>
        <v>10.557</v>
      </c>
      <c r="CY20">
        <f>AA20</f>
        <v>5.09</v>
      </c>
      <c r="CZ20">
        <f>AE20</f>
        <v>1</v>
      </c>
      <c r="DA20">
        <f>AI20</f>
        <v>5.09</v>
      </c>
      <c r="DB20">
        <f t="shared" si="2"/>
        <v>0.51</v>
      </c>
      <c r="DC20">
        <f t="shared" si="3"/>
        <v>0</v>
      </c>
      <c r="DD20" t="s">
        <v>6</v>
      </c>
      <c r="DE20" t="s">
        <v>6</v>
      </c>
      <c r="DF20">
        <f>ROUND(ROUND(AE20*AI20,2)*CX20,2)</f>
        <v>53.74</v>
      </c>
      <c r="DG20">
        <f t="shared" ref="DG20:DG27" si="4">ROUND(ROUND(AF20,2)*CX20,2)</f>
        <v>0</v>
      </c>
      <c r="DH20">
        <f>Source!I31*SmtRes!Y20</f>
        <v>10.557</v>
      </c>
      <c r="DI20">
        <f>AA20</f>
        <v>5.09</v>
      </c>
      <c r="DJ20">
        <f>EtalonRes!Y20</f>
        <v>1</v>
      </c>
      <c r="DK20" t="e">
        <f>Source!BC31</f>
        <v>#REF!</v>
      </c>
      <c r="DL20" t="s">
        <v>6</v>
      </c>
      <c r="DM20">
        <v>0</v>
      </c>
      <c r="DN20" t="s">
        <v>6</v>
      </c>
      <c r="DO20">
        <v>0</v>
      </c>
      <c r="GQ20">
        <v>-1</v>
      </c>
      <c r="GR20">
        <v>-1</v>
      </c>
    </row>
    <row r="21" spans="1:200" x14ac:dyDescent="0.2">
      <c r="A21">
        <f>ROW(Source!A33)</f>
        <v>33</v>
      </c>
      <c r="B21">
        <v>70471737</v>
      </c>
      <c r="C21">
        <v>70470232</v>
      </c>
      <c r="D21">
        <v>49510711</v>
      </c>
      <c r="E21">
        <v>70</v>
      </c>
      <c r="F21">
        <v>1</v>
      </c>
      <c r="G21">
        <v>1</v>
      </c>
      <c r="H21">
        <v>1</v>
      </c>
      <c r="I21" t="s">
        <v>294</v>
      </c>
      <c r="J21" t="s">
        <v>6</v>
      </c>
      <c r="K21" t="s">
        <v>295</v>
      </c>
      <c r="L21">
        <v>1191</v>
      </c>
      <c r="N21">
        <v>1013</v>
      </c>
      <c r="O21" t="s">
        <v>263</v>
      </c>
      <c r="P21" t="s">
        <v>263</v>
      </c>
      <c r="Q21">
        <v>1</v>
      </c>
      <c r="W21">
        <v>0</v>
      </c>
      <c r="X21">
        <v>-961628416</v>
      </c>
      <c r="Y21">
        <f t="shared" si="1"/>
        <v>124</v>
      </c>
      <c r="AA21">
        <v>0</v>
      </c>
      <c r="AB21">
        <v>0</v>
      </c>
      <c r="AC21">
        <v>0</v>
      </c>
      <c r="AD21">
        <v>310.23</v>
      </c>
      <c r="AE21">
        <v>0</v>
      </c>
      <c r="AF21">
        <v>0</v>
      </c>
      <c r="AG21">
        <v>0</v>
      </c>
      <c r="AH21">
        <v>8.4600000000000009</v>
      </c>
      <c r="AI21">
        <v>1</v>
      </c>
      <c r="AJ21">
        <v>1</v>
      </c>
      <c r="AK21">
        <v>1</v>
      </c>
      <c r="AL21">
        <v>36.67</v>
      </c>
      <c r="AM21">
        <v>4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6</v>
      </c>
      <c r="AT21">
        <v>124</v>
      </c>
      <c r="AU21" t="s">
        <v>6</v>
      </c>
      <c r="AV21">
        <v>1</v>
      </c>
      <c r="AW21">
        <v>2</v>
      </c>
      <c r="AX21">
        <v>70471837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U21">
        <f>ROUND(AT21*Source!I33*AH21*AL21,2)</f>
        <v>10617.25</v>
      </c>
      <c r="CV21">
        <f>ROUND(Y21*Source!I33,7)</f>
        <v>34.223999999999997</v>
      </c>
      <c r="CW21">
        <v>0</v>
      </c>
      <c r="CX21">
        <f>ROUND(Y21*Source!I33,7)</f>
        <v>34.223999999999997</v>
      </c>
      <c r="CY21">
        <f>AD21</f>
        <v>310.23</v>
      </c>
      <c r="CZ21">
        <f>AH21</f>
        <v>8.4600000000000009</v>
      </c>
      <c r="DA21">
        <f>AL21</f>
        <v>36.67</v>
      </c>
      <c r="DB21">
        <f t="shared" si="2"/>
        <v>1049.04</v>
      </c>
      <c r="DC21">
        <f t="shared" si="3"/>
        <v>0</v>
      </c>
      <c r="DD21" t="s">
        <v>6</v>
      </c>
      <c r="DE21" t="s">
        <v>6</v>
      </c>
      <c r="DF21">
        <f>ROUND(ROUND(AE21,2)*CX21,2)</f>
        <v>0</v>
      </c>
      <c r="DG21">
        <f t="shared" si="4"/>
        <v>0</v>
      </c>
      <c r="DH21">
        <f>Source!I33*SmtRes!Y21</f>
        <v>34.224000000000004</v>
      </c>
      <c r="DI21">
        <f>AD21</f>
        <v>310.23</v>
      </c>
      <c r="DJ21">
        <f>EtalonRes!AB21</f>
        <v>8.4600000000000009</v>
      </c>
      <c r="DK21" t="e">
        <f>Source!BA33</f>
        <v>#REF!</v>
      </c>
      <c r="DL21" t="s">
        <v>6</v>
      </c>
      <c r="DM21">
        <v>0</v>
      </c>
      <c r="DN21" t="s">
        <v>6</v>
      </c>
      <c r="DO21">
        <v>0</v>
      </c>
      <c r="GQ21">
        <v>-1</v>
      </c>
      <c r="GR21">
        <v>-1</v>
      </c>
    </row>
    <row r="22" spans="1:200" x14ac:dyDescent="0.2">
      <c r="A22">
        <f>ROW(Source!A33)</f>
        <v>33</v>
      </c>
      <c r="B22">
        <v>70471737</v>
      </c>
      <c r="C22">
        <v>70470232</v>
      </c>
      <c r="D22">
        <v>49521482</v>
      </c>
      <c r="E22">
        <v>1</v>
      </c>
      <c r="F22">
        <v>1</v>
      </c>
      <c r="G22">
        <v>1</v>
      </c>
      <c r="H22">
        <v>3</v>
      </c>
      <c r="I22" t="s">
        <v>296</v>
      </c>
      <c r="J22" t="s">
        <v>297</v>
      </c>
      <c r="K22" t="s">
        <v>298</v>
      </c>
      <c r="L22">
        <v>1348</v>
      </c>
      <c r="N22">
        <v>1009</v>
      </c>
      <c r="O22" t="s">
        <v>299</v>
      </c>
      <c r="P22" t="s">
        <v>299</v>
      </c>
      <c r="Q22">
        <v>1000</v>
      </c>
      <c r="W22">
        <v>0</v>
      </c>
      <c r="X22">
        <v>-774045768</v>
      </c>
      <c r="Y22" s="60">
        <f>'5.Ведомость_списания'!F40</f>
        <v>8.0000000000000004E-4</v>
      </c>
      <c r="AA22">
        <v>24279.3</v>
      </c>
      <c r="AB22">
        <v>0</v>
      </c>
      <c r="AC22">
        <v>0</v>
      </c>
      <c r="AD22">
        <v>0</v>
      </c>
      <c r="AE22">
        <v>4770</v>
      </c>
      <c r="AF22">
        <v>0</v>
      </c>
      <c r="AG22">
        <v>0</v>
      </c>
      <c r="AH22">
        <v>0</v>
      </c>
      <c r="AI22">
        <v>5.09</v>
      </c>
      <c r="AJ22">
        <v>1</v>
      </c>
      <c r="AK22">
        <v>1</v>
      </c>
      <c r="AL22">
        <v>1</v>
      </c>
      <c r="AM22">
        <v>4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6</v>
      </c>
      <c r="AT22">
        <v>8.0000000000000004E-4</v>
      </c>
      <c r="AU22" t="s">
        <v>6</v>
      </c>
      <c r="AV22">
        <v>0</v>
      </c>
      <c r="AW22">
        <v>2</v>
      </c>
      <c r="AX22">
        <v>70471838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ROUND(Y22*Source!I33,7)</f>
        <v>2.208E-4</v>
      </c>
      <c r="CY22">
        <f>AA22</f>
        <v>24279.3</v>
      </c>
      <c r="CZ22">
        <f>AE22</f>
        <v>4770</v>
      </c>
      <c r="DA22">
        <f>AI22</f>
        <v>5.09</v>
      </c>
      <c r="DB22">
        <f t="shared" si="2"/>
        <v>3.82</v>
      </c>
      <c r="DC22">
        <f t="shared" si="3"/>
        <v>0</v>
      </c>
      <c r="DD22" t="s">
        <v>6</v>
      </c>
      <c r="DE22" t="s">
        <v>6</v>
      </c>
      <c r="DF22">
        <f>ROUND(ROUND(AE22*AI22,2)*CX22,2)</f>
        <v>5.36</v>
      </c>
      <c r="DG22">
        <f t="shared" si="4"/>
        <v>0</v>
      </c>
      <c r="DH22">
        <f>Source!I33*SmtRes!Y22</f>
        <v>2.2080000000000003E-4</v>
      </c>
      <c r="DI22">
        <f>AA22</f>
        <v>24279.3</v>
      </c>
      <c r="DJ22">
        <f>EtalonRes!Y22</f>
        <v>4770</v>
      </c>
      <c r="DK22" t="e">
        <f>Source!BC33</f>
        <v>#REF!</v>
      </c>
      <c r="DL22" t="s">
        <v>6</v>
      </c>
      <c r="DM22">
        <v>0</v>
      </c>
      <c r="DN22" t="s">
        <v>6</v>
      </c>
      <c r="DO22">
        <v>0</v>
      </c>
      <c r="GQ22">
        <v>-1</v>
      </c>
      <c r="GR22">
        <v>-1</v>
      </c>
    </row>
    <row r="23" spans="1:200" x14ac:dyDescent="0.2">
      <c r="A23">
        <f>ROW(Source!A33)</f>
        <v>33</v>
      </c>
      <c r="B23">
        <v>70471737</v>
      </c>
      <c r="C23">
        <v>70470232</v>
      </c>
      <c r="D23">
        <v>49546654</v>
      </c>
      <c r="E23">
        <v>1</v>
      </c>
      <c r="F23">
        <v>1</v>
      </c>
      <c r="G23">
        <v>1</v>
      </c>
      <c r="H23">
        <v>3</v>
      </c>
      <c r="I23" t="s">
        <v>300</v>
      </c>
      <c r="J23" t="s">
        <v>301</v>
      </c>
      <c r="K23" t="s">
        <v>302</v>
      </c>
      <c r="L23">
        <v>1339</v>
      </c>
      <c r="N23">
        <v>1007</v>
      </c>
      <c r="O23" t="s">
        <v>45</v>
      </c>
      <c r="P23" t="s">
        <v>45</v>
      </c>
      <c r="Q23">
        <v>1</v>
      </c>
      <c r="W23">
        <v>0</v>
      </c>
      <c r="X23">
        <v>586126354</v>
      </c>
      <c r="Y23" s="60">
        <f>'5.Ведомость_списания'!F41</f>
        <v>0.08</v>
      </c>
      <c r="AA23">
        <v>4084.52</v>
      </c>
      <c r="AB23">
        <v>0</v>
      </c>
      <c r="AC23">
        <v>0</v>
      </c>
      <c r="AD23">
        <v>0</v>
      </c>
      <c r="AE23">
        <v>802.46</v>
      </c>
      <c r="AF23">
        <v>0</v>
      </c>
      <c r="AG23">
        <v>0</v>
      </c>
      <c r="AH23">
        <v>0</v>
      </c>
      <c r="AI23">
        <v>5.09</v>
      </c>
      <c r="AJ23">
        <v>1</v>
      </c>
      <c r="AK23">
        <v>1</v>
      </c>
      <c r="AL23">
        <v>1</v>
      </c>
      <c r="AM23">
        <v>4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6</v>
      </c>
      <c r="AT23">
        <v>0.08</v>
      </c>
      <c r="AU23" t="s">
        <v>6</v>
      </c>
      <c r="AV23">
        <v>0</v>
      </c>
      <c r="AW23">
        <v>2</v>
      </c>
      <c r="AX23">
        <v>70471839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ROUND(Y23*Source!I33,7)</f>
        <v>2.2079999999999999E-2</v>
      </c>
      <c r="CY23">
        <f>AA23</f>
        <v>4084.52</v>
      </c>
      <c r="CZ23">
        <f>AE23</f>
        <v>802.46</v>
      </c>
      <c r="DA23">
        <f>AI23</f>
        <v>5.09</v>
      </c>
      <c r="DB23">
        <f t="shared" si="2"/>
        <v>64.2</v>
      </c>
      <c r="DC23">
        <f t="shared" si="3"/>
        <v>0</v>
      </c>
      <c r="DD23" t="s">
        <v>6</v>
      </c>
      <c r="DE23" t="s">
        <v>6</v>
      </c>
      <c r="DF23">
        <f>ROUND(ROUND(AE23*AI23,2)*CX23,2)</f>
        <v>90.19</v>
      </c>
      <c r="DG23">
        <f t="shared" si="4"/>
        <v>0</v>
      </c>
      <c r="DH23">
        <f>Source!I33*SmtRes!Y23</f>
        <v>2.2080000000000002E-2</v>
      </c>
      <c r="DI23">
        <f>AA23</f>
        <v>4084.52</v>
      </c>
      <c r="DJ23">
        <f>EtalonRes!Y23</f>
        <v>802.46</v>
      </c>
      <c r="DK23" t="e">
        <f>Source!BC33</f>
        <v>#REF!</v>
      </c>
      <c r="DL23" t="s">
        <v>6</v>
      </c>
      <c r="DM23">
        <v>0</v>
      </c>
      <c r="DN23" t="s">
        <v>6</v>
      </c>
      <c r="DO23">
        <v>0</v>
      </c>
      <c r="GQ23">
        <v>-1</v>
      </c>
      <c r="GR23">
        <v>-1</v>
      </c>
    </row>
    <row r="24" spans="1:200" x14ac:dyDescent="0.2">
      <c r="A24">
        <f>ROW(Source!A33)</f>
        <v>33</v>
      </c>
      <c r="B24">
        <v>70471737</v>
      </c>
      <c r="C24">
        <v>70470232</v>
      </c>
      <c r="D24">
        <v>49584059</v>
      </c>
      <c r="E24">
        <v>1</v>
      </c>
      <c r="F24">
        <v>1</v>
      </c>
      <c r="G24">
        <v>1</v>
      </c>
      <c r="H24">
        <v>3</v>
      </c>
      <c r="I24" t="s">
        <v>93</v>
      </c>
      <c r="J24" t="s">
        <v>96</v>
      </c>
      <c r="K24" t="s">
        <v>94</v>
      </c>
      <c r="L24">
        <v>1301</v>
      </c>
      <c r="N24">
        <v>1003</v>
      </c>
      <c r="O24" t="s">
        <v>95</v>
      </c>
      <c r="P24" t="s">
        <v>95</v>
      </c>
      <c r="Q24">
        <v>1</v>
      </c>
      <c r="W24">
        <v>1</v>
      </c>
      <c r="X24">
        <v>-2098109197</v>
      </c>
      <c r="Y24">
        <f t="shared" si="1"/>
        <v>-1000</v>
      </c>
      <c r="AA24">
        <v>320.67</v>
      </c>
      <c r="AB24">
        <v>0</v>
      </c>
      <c r="AC24">
        <v>0</v>
      </c>
      <c r="AD24">
        <v>0</v>
      </c>
      <c r="AE24">
        <v>63</v>
      </c>
      <c r="AF24">
        <v>0</v>
      </c>
      <c r="AG24">
        <v>0</v>
      </c>
      <c r="AH24">
        <v>0</v>
      </c>
      <c r="AI24">
        <v>5.09</v>
      </c>
      <c r="AJ24">
        <v>1</v>
      </c>
      <c r="AK24">
        <v>1</v>
      </c>
      <c r="AL24">
        <v>1</v>
      </c>
      <c r="AM24">
        <v>4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6</v>
      </c>
      <c r="AT24">
        <v>-1000</v>
      </c>
      <c r="AU24" t="s">
        <v>6</v>
      </c>
      <c r="AV24">
        <v>0</v>
      </c>
      <c r="AW24">
        <v>2</v>
      </c>
      <c r="AX24">
        <v>70471840</v>
      </c>
      <c r="AY24">
        <v>1</v>
      </c>
      <c r="AZ24">
        <v>6144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ROUND(Y24*Source!I33,7)</f>
        <v>-276</v>
      </c>
      <c r="CY24">
        <f>AA24</f>
        <v>320.67</v>
      </c>
      <c r="CZ24">
        <f>AE24</f>
        <v>63</v>
      </c>
      <c r="DA24">
        <f>AI24</f>
        <v>5.09</v>
      </c>
      <c r="DB24">
        <f t="shared" si="2"/>
        <v>-63000</v>
      </c>
      <c r="DC24">
        <f t="shared" si="3"/>
        <v>0</v>
      </c>
      <c r="DD24" t="s">
        <v>6</v>
      </c>
      <c r="DE24" t="s">
        <v>6</v>
      </c>
      <c r="DF24">
        <f>ROUND(ROUND(AE24*AI24,2)*CX24,2)</f>
        <v>-88504.92</v>
      </c>
      <c r="DG24">
        <f t="shared" si="4"/>
        <v>0</v>
      </c>
      <c r="DH24">
        <f>Source!I33*SmtRes!Y24</f>
        <v>-276</v>
      </c>
      <c r="DI24">
        <f>AA24</f>
        <v>320.67</v>
      </c>
      <c r="DJ24">
        <f>EtalonRes!Y24</f>
        <v>63</v>
      </c>
      <c r="DK24" t="e">
        <f>Source!BC33</f>
        <v>#REF!</v>
      </c>
      <c r="DL24" t="s">
        <v>6</v>
      </c>
      <c r="DM24">
        <v>0</v>
      </c>
      <c r="DN24" t="s">
        <v>6</v>
      </c>
      <c r="DO24">
        <v>0</v>
      </c>
      <c r="GP24">
        <v>0</v>
      </c>
      <c r="GQ24">
        <v>-1</v>
      </c>
      <c r="GR24">
        <v>-1</v>
      </c>
    </row>
    <row r="25" spans="1:200" x14ac:dyDescent="0.2">
      <c r="A25">
        <f>ROW(Source!A33)</f>
        <v>33</v>
      </c>
      <c r="B25">
        <v>70471737</v>
      </c>
      <c r="C25">
        <v>70470232</v>
      </c>
      <c r="D25">
        <v>49584060</v>
      </c>
      <c r="E25">
        <v>1</v>
      </c>
      <c r="F25">
        <v>1</v>
      </c>
      <c r="G25">
        <v>1</v>
      </c>
      <c r="H25">
        <v>3</v>
      </c>
      <c r="I25" t="s">
        <v>98</v>
      </c>
      <c r="J25" t="s">
        <v>100</v>
      </c>
      <c r="K25" t="s">
        <v>99</v>
      </c>
      <c r="L25">
        <v>1301</v>
      </c>
      <c r="N25">
        <v>1003</v>
      </c>
      <c r="O25" t="s">
        <v>95</v>
      </c>
      <c r="P25" t="s">
        <v>95</v>
      </c>
      <c r="Q25">
        <v>1</v>
      </c>
      <c r="W25">
        <v>0</v>
      </c>
      <c r="X25">
        <v>443988570</v>
      </c>
      <c r="Y25">
        <f t="shared" si="1"/>
        <v>1000</v>
      </c>
      <c r="AA25">
        <v>670.35</v>
      </c>
      <c r="AB25">
        <v>0</v>
      </c>
      <c r="AC25">
        <v>0</v>
      </c>
      <c r="AD25">
        <v>0</v>
      </c>
      <c r="AE25">
        <v>131.69999999999999</v>
      </c>
      <c r="AF25">
        <v>0</v>
      </c>
      <c r="AG25">
        <v>0</v>
      </c>
      <c r="AH25">
        <v>0</v>
      </c>
      <c r="AI25">
        <v>5.09</v>
      </c>
      <c r="AJ25">
        <v>1</v>
      </c>
      <c r="AK25">
        <v>1</v>
      </c>
      <c r="AL25">
        <v>1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 t="s">
        <v>6</v>
      </c>
      <c r="AT25">
        <v>1000</v>
      </c>
      <c r="AU25" t="s">
        <v>6</v>
      </c>
      <c r="AV25">
        <v>0</v>
      </c>
      <c r="AW25">
        <v>1</v>
      </c>
      <c r="AX25">
        <v>-1</v>
      </c>
      <c r="AY25">
        <v>0</v>
      </c>
      <c r="AZ25">
        <v>0</v>
      </c>
      <c r="BA25" t="s">
        <v>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ROUND(Y25*Source!I33,7)</f>
        <v>276</v>
      </c>
      <c r="CY25">
        <f>AA25</f>
        <v>670.35</v>
      </c>
      <c r="CZ25">
        <f>AE25</f>
        <v>131.69999999999999</v>
      </c>
      <c r="DA25">
        <f>AI25</f>
        <v>5.09</v>
      </c>
      <c r="DB25">
        <f t="shared" si="2"/>
        <v>131700</v>
      </c>
      <c r="DC25">
        <f t="shared" si="3"/>
        <v>0</v>
      </c>
      <c r="DD25" t="s">
        <v>6</v>
      </c>
      <c r="DE25" t="s">
        <v>6</v>
      </c>
      <c r="DF25">
        <f>ROUND(ROUND(AE25*AI25,2)*CX25,2)</f>
        <v>185016.6</v>
      </c>
      <c r="DG25">
        <f t="shared" si="4"/>
        <v>0</v>
      </c>
      <c r="DH25">
        <f>Source!I33*SmtRes!Y25</f>
        <v>276</v>
      </c>
      <c r="DI25">
        <f>AA25</f>
        <v>670.35</v>
      </c>
      <c r="DJ25">
        <f>DF25</f>
        <v>185016.6</v>
      </c>
      <c r="DK25" t="e">
        <f>Source!BC33</f>
        <v>#REF!</v>
      </c>
      <c r="DL25" t="s">
        <v>6</v>
      </c>
      <c r="DM25">
        <v>0</v>
      </c>
      <c r="DN25" t="s">
        <v>6</v>
      </c>
      <c r="DO25">
        <v>0</v>
      </c>
      <c r="GP25">
        <v>1</v>
      </c>
      <c r="GQ25">
        <v>-1</v>
      </c>
      <c r="GR25">
        <v>-1</v>
      </c>
    </row>
    <row r="26" spans="1:200" x14ac:dyDescent="0.2">
      <c r="A26">
        <f>ROW(Source!A36)</f>
        <v>36</v>
      </c>
      <c r="B26">
        <v>70471737</v>
      </c>
      <c r="C26">
        <v>70470244</v>
      </c>
      <c r="D26">
        <v>49510749</v>
      </c>
      <c r="E26">
        <v>70</v>
      </c>
      <c r="F26">
        <v>1</v>
      </c>
      <c r="G26">
        <v>1</v>
      </c>
      <c r="H26">
        <v>1</v>
      </c>
      <c r="I26" t="s">
        <v>283</v>
      </c>
      <c r="J26" t="s">
        <v>6</v>
      </c>
      <c r="K26" t="s">
        <v>284</v>
      </c>
      <c r="L26">
        <v>1191</v>
      </c>
      <c r="N26">
        <v>1013</v>
      </c>
      <c r="O26" t="s">
        <v>263</v>
      </c>
      <c r="P26" t="s">
        <v>263</v>
      </c>
      <c r="Q26">
        <v>1</v>
      </c>
      <c r="W26">
        <v>0</v>
      </c>
      <c r="X26">
        <v>-2012709214</v>
      </c>
      <c r="Y26">
        <f t="shared" si="1"/>
        <v>23.04</v>
      </c>
      <c r="AA26">
        <v>0</v>
      </c>
      <c r="AB26">
        <v>0</v>
      </c>
      <c r="AC26">
        <v>0</v>
      </c>
      <c r="AD26">
        <v>344.7</v>
      </c>
      <c r="AE26">
        <v>0</v>
      </c>
      <c r="AF26">
        <v>0</v>
      </c>
      <c r="AG26">
        <v>0</v>
      </c>
      <c r="AH26">
        <v>9.4</v>
      </c>
      <c r="AI26">
        <v>1</v>
      </c>
      <c r="AJ26">
        <v>1</v>
      </c>
      <c r="AK26">
        <v>1</v>
      </c>
      <c r="AL26">
        <v>36.67</v>
      </c>
      <c r="AM26">
        <v>4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6</v>
      </c>
      <c r="AT26">
        <v>23.04</v>
      </c>
      <c r="AU26" t="s">
        <v>6</v>
      </c>
      <c r="AV26">
        <v>1</v>
      </c>
      <c r="AW26">
        <v>2</v>
      </c>
      <c r="AX26">
        <v>70471786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U26">
        <f>ROUND(AT26*Source!I36*AH26*AL26,2)</f>
        <v>9530.2099999999991</v>
      </c>
      <c r="CV26">
        <f>ROUND(Y26*Source!I36,7)</f>
        <v>27.648</v>
      </c>
      <c r="CW26">
        <v>0</v>
      </c>
      <c r="CX26">
        <f>ROUND(Y26*Source!I36,7)</f>
        <v>27.648</v>
      </c>
      <c r="CY26">
        <f>AD26</f>
        <v>344.7</v>
      </c>
      <c r="CZ26">
        <f>AH26</f>
        <v>9.4</v>
      </c>
      <c r="DA26">
        <f>AL26</f>
        <v>36.67</v>
      </c>
      <c r="DB26">
        <f t="shared" si="2"/>
        <v>216.58</v>
      </c>
      <c r="DC26">
        <f t="shared" si="3"/>
        <v>0</v>
      </c>
      <c r="DD26" t="s">
        <v>6</v>
      </c>
      <c r="DE26" t="s">
        <v>6</v>
      </c>
      <c r="DF26">
        <f t="shared" ref="DF26:DF31" si="5">ROUND(ROUND(AE26,2)*CX26,2)</f>
        <v>0</v>
      </c>
      <c r="DG26">
        <f t="shared" si="4"/>
        <v>0</v>
      </c>
      <c r="DH26">
        <f>Source!I36*SmtRes!Y26</f>
        <v>27.648</v>
      </c>
      <c r="DI26">
        <f>AD26</f>
        <v>344.7</v>
      </c>
      <c r="DJ26">
        <f>EtalonRes!AB25</f>
        <v>9.4</v>
      </c>
      <c r="DK26" t="e">
        <f>Source!BA36</f>
        <v>#REF!</v>
      </c>
      <c r="DL26" t="s">
        <v>6</v>
      </c>
      <c r="DM26">
        <v>0</v>
      </c>
      <c r="DN26" t="s">
        <v>6</v>
      </c>
      <c r="DO26">
        <v>0</v>
      </c>
      <c r="GQ26">
        <v>-1</v>
      </c>
      <c r="GR26">
        <v>-1</v>
      </c>
    </row>
    <row r="27" spans="1:200" x14ac:dyDescent="0.2">
      <c r="A27">
        <f>ROW(Source!A36)</f>
        <v>36</v>
      </c>
      <c r="B27">
        <v>70471737</v>
      </c>
      <c r="C27">
        <v>70470244</v>
      </c>
      <c r="D27">
        <v>49510905</v>
      </c>
      <c r="E27">
        <v>70</v>
      </c>
      <c r="F27">
        <v>1</v>
      </c>
      <c r="G27">
        <v>1</v>
      </c>
      <c r="H27">
        <v>1</v>
      </c>
      <c r="I27" t="s">
        <v>261</v>
      </c>
      <c r="J27" t="s">
        <v>6</v>
      </c>
      <c r="K27" t="s">
        <v>262</v>
      </c>
      <c r="L27">
        <v>1191</v>
      </c>
      <c r="N27">
        <v>1013</v>
      </c>
      <c r="O27" t="s">
        <v>263</v>
      </c>
      <c r="P27" t="s">
        <v>263</v>
      </c>
      <c r="Q27">
        <v>1</v>
      </c>
      <c r="W27">
        <v>0</v>
      </c>
      <c r="X27">
        <v>-1417349443</v>
      </c>
      <c r="Y27">
        <f t="shared" si="1"/>
        <v>0.4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36.67</v>
      </c>
      <c r="AL27">
        <v>1</v>
      </c>
      <c r="AM27">
        <v>4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6</v>
      </c>
      <c r="AT27">
        <v>0.4</v>
      </c>
      <c r="AU27" t="s">
        <v>6</v>
      </c>
      <c r="AV27">
        <v>2</v>
      </c>
      <c r="AW27">
        <v>2</v>
      </c>
      <c r="AX27">
        <v>70471787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v>0</v>
      </c>
      <c r="CX27">
        <f>ROUND(Y27*Source!I36,7)</f>
        <v>0.48</v>
      </c>
      <c r="CY27">
        <f>AD27</f>
        <v>0</v>
      </c>
      <c r="CZ27">
        <f>AH27</f>
        <v>0</v>
      </c>
      <c r="DA27">
        <f>AL27</f>
        <v>1</v>
      </c>
      <c r="DB27">
        <f t="shared" si="2"/>
        <v>0</v>
      </c>
      <c r="DC27">
        <f t="shared" si="3"/>
        <v>0</v>
      </c>
      <c r="DD27" t="s">
        <v>6</v>
      </c>
      <c r="DE27" t="s">
        <v>6</v>
      </c>
      <c r="DF27">
        <f t="shared" si="5"/>
        <v>0</v>
      </c>
      <c r="DG27">
        <f t="shared" si="4"/>
        <v>0</v>
      </c>
      <c r="DH27">
        <f>Source!I36*SmtRes!Y27</f>
        <v>0.48</v>
      </c>
      <c r="DI27">
        <f>AD27</f>
        <v>0</v>
      </c>
      <c r="DJ27">
        <f>EtalonRes!AB26</f>
        <v>0</v>
      </c>
      <c r="DK27" t="e">
        <f>Source!BA36</f>
        <v>#REF!</v>
      </c>
      <c r="DL27" t="s">
        <v>6</v>
      </c>
      <c r="DM27">
        <v>0</v>
      </c>
      <c r="DN27" t="s">
        <v>6</v>
      </c>
      <c r="DO27">
        <v>0</v>
      </c>
      <c r="GQ27">
        <v>-1</v>
      </c>
      <c r="GR27">
        <v>-1</v>
      </c>
    </row>
    <row r="28" spans="1:200" x14ac:dyDescent="0.2">
      <c r="A28">
        <f>ROW(Source!A36)</f>
        <v>36</v>
      </c>
      <c r="B28">
        <v>70471737</v>
      </c>
      <c r="C28">
        <v>70470244</v>
      </c>
      <c r="D28">
        <v>49672573</v>
      </c>
      <c r="E28">
        <v>1</v>
      </c>
      <c r="F28">
        <v>1</v>
      </c>
      <c r="G28">
        <v>1</v>
      </c>
      <c r="H28">
        <v>2</v>
      </c>
      <c r="I28" t="s">
        <v>285</v>
      </c>
      <c r="J28" t="s">
        <v>286</v>
      </c>
      <c r="K28" t="s">
        <v>287</v>
      </c>
      <c r="L28">
        <v>1367</v>
      </c>
      <c r="N28">
        <v>1011</v>
      </c>
      <c r="O28" t="s">
        <v>267</v>
      </c>
      <c r="P28" t="s">
        <v>267</v>
      </c>
      <c r="Q28">
        <v>1</v>
      </c>
      <c r="W28">
        <v>0</v>
      </c>
      <c r="X28">
        <v>-430484415</v>
      </c>
      <c r="Y28">
        <f t="shared" si="1"/>
        <v>0.2</v>
      </c>
      <c r="AA28">
        <v>0</v>
      </c>
      <c r="AB28">
        <v>1298.25</v>
      </c>
      <c r="AC28">
        <v>495.05</v>
      </c>
      <c r="AD28">
        <v>0</v>
      </c>
      <c r="AE28">
        <v>0</v>
      </c>
      <c r="AF28">
        <v>115.4</v>
      </c>
      <c r="AG28">
        <v>13.5</v>
      </c>
      <c r="AH28">
        <v>0</v>
      </c>
      <c r="AI28">
        <v>1</v>
      </c>
      <c r="AJ28">
        <v>11.25</v>
      </c>
      <c r="AK28">
        <v>36.67</v>
      </c>
      <c r="AL28">
        <v>1</v>
      </c>
      <c r="AM28">
        <v>4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6</v>
      </c>
      <c r="AT28">
        <v>0.2</v>
      </c>
      <c r="AU28" t="s">
        <v>6</v>
      </c>
      <c r="AV28">
        <v>0</v>
      </c>
      <c r="AW28">
        <v>2</v>
      </c>
      <c r="AX28">
        <v>70471788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f>ROUND(Y28*Source!I36*DO28,7)</f>
        <v>0</v>
      </c>
      <c r="CX28">
        <f>ROUND(Y28*Source!I36,7)</f>
        <v>0.24</v>
      </c>
      <c r="CY28">
        <f>AB28</f>
        <v>1298.25</v>
      </c>
      <c r="CZ28">
        <f>AF28</f>
        <v>115.4</v>
      </c>
      <c r="DA28">
        <f>AJ28</f>
        <v>11.25</v>
      </c>
      <c r="DB28">
        <f t="shared" si="2"/>
        <v>23.08</v>
      </c>
      <c r="DC28">
        <f t="shared" si="3"/>
        <v>2.7</v>
      </c>
      <c r="DD28" t="s">
        <v>6</v>
      </c>
      <c r="DE28" t="s">
        <v>6</v>
      </c>
      <c r="DF28">
        <f t="shared" si="5"/>
        <v>0</v>
      </c>
      <c r="DG28">
        <f>ROUND(ROUND(AF28*AJ28,2)*CX28,2)</f>
        <v>311.58</v>
      </c>
      <c r="DH28">
        <f>Source!I36*SmtRes!Y28</f>
        <v>0.24</v>
      </c>
      <c r="DI28">
        <f>AB28</f>
        <v>1298.25</v>
      </c>
      <c r="DJ28">
        <f>EtalonRes!Z27</f>
        <v>115.4</v>
      </c>
      <c r="DK28" t="e">
        <f>Source!BB36</f>
        <v>#REF!</v>
      </c>
      <c r="DL28" t="s">
        <v>6</v>
      </c>
      <c r="DM28">
        <v>0</v>
      </c>
      <c r="DN28" t="s">
        <v>6</v>
      </c>
      <c r="DO28">
        <v>0</v>
      </c>
      <c r="GQ28">
        <v>-1</v>
      </c>
      <c r="GR28">
        <v>-1</v>
      </c>
    </row>
    <row r="29" spans="1:200" x14ac:dyDescent="0.2">
      <c r="A29">
        <f>ROW(Source!A36)</f>
        <v>36</v>
      </c>
      <c r="B29">
        <v>70471737</v>
      </c>
      <c r="C29">
        <v>70470244</v>
      </c>
      <c r="D29">
        <v>49672654</v>
      </c>
      <c r="E29">
        <v>1</v>
      </c>
      <c r="F29">
        <v>1</v>
      </c>
      <c r="G29">
        <v>1</v>
      </c>
      <c r="H29">
        <v>2</v>
      </c>
      <c r="I29" t="s">
        <v>303</v>
      </c>
      <c r="J29" t="s">
        <v>304</v>
      </c>
      <c r="K29" t="s">
        <v>305</v>
      </c>
      <c r="L29">
        <v>1367</v>
      </c>
      <c r="N29">
        <v>1011</v>
      </c>
      <c r="O29" t="s">
        <v>267</v>
      </c>
      <c r="P29" t="s">
        <v>267</v>
      </c>
      <c r="Q29">
        <v>1</v>
      </c>
      <c r="W29">
        <v>0</v>
      </c>
      <c r="X29">
        <v>321316643</v>
      </c>
      <c r="Y29">
        <f t="shared" si="1"/>
        <v>5.14</v>
      </c>
      <c r="AA29">
        <v>0</v>
      </c>
      <c r="AB29">
        <v>10.130000000000001</v>
      </c>
      <c r="AC29">
        <v>0</v>
      </c>
      <c r="AD29">
        <v>0</v>
      </c>
      <c r="AE29">
        <v>0</v>
      </c>
      <c r="AF29">
        <v>0.9</v>
      </c>
      <c r="AG29">
        <v>0</v>
      </c>
      <c r="AH29">
        <v>0</v>
      </c>
      <c r="AI29">
        <v>1</v>
      </c>
      <c r="AJ29">
        <v>11.25</v>
      </c>
      <c r="AK29">
        <v>36.67</v>
      </c>
      <c r="AL29">
        <v>1</v>
      </c>
      <c r="AM29">
        <v>4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6</v>
      </c>
      <c r="AT29">
        <v>5.14</v>
      </c>
      <c r="AU29" t="s">
        <v>6</v>
      </c>
      <c r="AV29">
        <v>0</v>
      </c>
      <c r="AW29">
        <v>2</v>
      </c>
      <c r="AX29">
        <v>70471789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f>ROUND(Y29*Source!I36*DO29,7)</f>
        <v>0</v>
      </c>
      <c r="CX29">
        <f>ROUND(Y29*Source!I36,7)</f>
        <v>6.1680000000000001</v>
      </c>
      <c r="CY29">
        <f>AB29</f>
        <v>10.130000000000001</v>
      </c>
      <c r="CZ29">
        <f>AF29</f>
        <v>0.9</v>
      </c>
      <c r="DA29">
        <f>AJ29</f>
        <v>11.25</v>
      </c>
      <c r="DB29">
        <f t="shared" si="2"/>
        <v>4.63</v>
      </c>
      <c r="DC29">
        <f t="shared" si="3"/>
        <v>0</v>
      </c>
      <c r="DD29" t="s">
        <v>6</v>
      </c>
      <c r="DE29" t="s">
        <v>6</v>
      </c>
      <c r="DF29">
        <f t="shared" si="5"/>
        <v>0</v>
      </c>
      <c r="DG29">
        <f>ROUND(ROUND(AF29*AJ29,2)*CX29,2)</f>
        <v>62.48</v>
      </c>
      <c r="DH29">
        <f>Source!I36*SmtRes!Y29</f>
        <v>6.1679999999999993</v>
      </c>
      <c r="DI29">
        <f>AB29</f>
        <v>10.130000000000001</v>
      </c>
      <c r="DJ29">
        <f>EtalonRes!Z28</f>
        <v>0.9</v>
      </c>
      <c r="DK29" t="e">
        <f>Source!BB36</f>
        <v>#REF!</v>
      </c>
      <c r="DL29" t="s">
        <v>6</v>
      </c>
      <c r="DM29">
        <v>0</v>
      </c>
      <c r="DN29" t="s">
        <v>6</v>
      </c>
      <c r="DO29">
        <v>0</v>
      </c>
      <c r="GQ29">
        <v>-1</v>
      </c>
      <c r="GR29">
        <v>-1</v>
      </c>
    </row>
    <row r="30" spans="1:200" x14ac:dyDescent="0.2">
      <c r="A30">
        <f>ROW(Source!A36)</f>
        <v>36</v>
      </c>
      <c r="B30">
        <v>70471737</v>
      </c>
      <c r="C30">
        <v>70470244</v>
      </c>
      <c r="D30">
        <v>49672710</v>
      </c>
      <c r="E30">
        <v>1</v>
      </c>
      <c r="F30">
        <v>1</v>
      </c>
      <c r="G30">
        <v>1</v>
      </c>
      <c r="H30">
        <v>2</v>
      </c>
      <c r="I30" t="s">
        <v>306</v>
      </c>
      <c r="J30" t="s">
        <v>307</v>
      </c>
      <c r="K30" t="s">
        <v>308</v>
      </c>
      <c r="L30">
        <v>1367</v>
      </c>
      <c r="N30">
        <v>1011</v>
      </c>
      <c r="O30" t="s">
        <v>267</v>
      </c>
      <c r="P30" t="s">
        <v>267</v>
      </c>
      <c r="Q30">
        <v>1</v>
      </c>
      <c r="W30">
        <v>0</v>
      </c>
      <c r="X30">
        <v>-382331097</v>
      </c>
      <c r="Y30">
        <f t="shared" si="1"/>
        <v>5.14</v>
      </c>
      <c r="AA30">
        <v>0</v>
      </c>
      <c r="AB30">
        <v>77.63</v>
      </c>
      <c r="AC30">
        <v>0</v>
      </c>
      <c r="AD30">
        <v>0</v>
      </c>
      <c r="AE30">
        <v>0</v>
      </c>
      <c r="AF30">
        <v>6.9</v>
      </c>
      <c r="AG30">
        <v>0</v>
      </c>
      <c r="AH30">
        <v>0</v>
      </c>
      <c r="AI30">
        <v>1</v>
      </c>
      <c r="AJ30">
        <v>11.25</v>
      </c>
      <c r="AK30">
        <v>36.67</v>
      </c>
      <c r="AL30">
        <v>1</v>
      </c>
      <c r="AM30">
        <v>4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6</v>
      </c>
      <c r="AT30">
        <v>5.14</v>
      </c>
      <c r="AU30" t="s">
        <v>6</v>
      </c>
      <c r="AV30">
        <v>0</v>
      </c>
      <c r="AW30">
        <v>2</v>
      </c>
      <c r="AX30">
        <v>70471790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f>ROUND(Y30*Source!I36*DO30,7)</f>
        <v>0</v>
      </c>
      <c r="CX30">
        <f>ROUND(Y30*Source!I36,7)</f>
        <v>6.1680000000000001</v>
      </c>
      <c r="CY30">
        <f>AB30</f>
        <v>77.63</v>
      </c>
      <c r="CZ30">
        <f>AF30</f>
        <v>6.9</v>
      </c>
      <c r="DA30">
        <f>AJ30</f>
        <v>11.25</v>
      </c>
      <c r="DB30">
        <f t="shared" si="2"/>
        <v>35.47</v>
      </c>
      <c r="DC30">
        <f t="shared" si="3"/>
        <v>0</v>
      </c>
      <c r="DD30" t="s">
        <v>6</v>
      </c>
      <c r="DE30" t="s">
        <v>6</v>
      </c>
      <c r="DF30">
        <f t="shared" si="5"/>
        <v>0</v>
      </c>
      <c r="DG30">
        <f>ROUND(ROUND(AF30*AJ30,2)*CX30,2)</f>
        <v>478.82</v>
      </c>
      <c r="DH30">
        <f>Source!I36*SmtRes!Y30</f>
        <v>6.1679999999999993</v>
      </c>
      <c r="DI30">
        <f>AB30</f>
        <v>77.63</v>
      </c>
      <c r="DJ30">
        <f>EtalonRes!Z29</f>
        <v>6.9</v>
      </c>
      <c r="DK30" t="e">
        <f>Source!BB36</f>
        <v>#REF!</v>
      </c>
      <c r="DL30" t="s">
        <v>6</v>
      </c>
      <c r="DM30">
        <v>0</v>
      </c>
      <c r="DN30" t="s">
        <v>6</v>
      </c>
      <c r="DO30">
        <v>0</v>
      </c>
      <c r="GQ30">
        <v>-1</v>
      </c>
      <c r="GR30">
        <v>-1</v>
      </c>
    </row>
    <row r="31" spans="1:200" x14ac:dyDescent="0.2">
      <c r="A31">
        <f>ROW(Source!A36)</f>
        <v>36</v>
      </c>
      <c r="B31">
        <v>70471737</v>
      </c>
      <c r="C31">
        <v>70470244</v>
      </c>
      <c r="D31">
        <v>49673503</v>
      </c>
      <c r="E31">
        <v>1</v>
      </c>
      <c r="F31">
        <v>1</v>
      </c>
      <c r="G31">
        <v>1</v>
      </c>
      <c r="H31">
        <v>2</v>
      </c>
      <c r="I31" t="s">
        <v>288</v>
      </c>
      <c r="J31" t="s">
        <v>289</v>
      </c>
      <c r="K31" t="s">
        <v>290</v>
      </c>
      <c r="L31">
        <v>1367</v>
      </c>
      <c r="N31">
        <v>1011</v>
      </c>
      <c r="O31" t="s">
        <v>267</v>
      </c>
      <c r="P31" t="s">
        <v>267</v>
      </c>
      <c r="Q31">
        <v>1</v>
      </c>
      <c r="W31">
        <v>0</v>
      </c>
      <c r="X31">
        <v>509054691</v>
      </c>
      <c r="Y31">
        <f t="shared" si="1"/>
        <v>0.2</v>
      </c>
      <c r="AA31">
        <v>0</v>
      </c>
      <c r="AB31">
        <v>739.24</v>
      </c>
      <c r="AC31">
        <v>425.37</v>
      </c>
      <c r="AD31">
        <v>0</v>
      </c>
      <c r="AE31">
        <v>0</v>
      </c>
      <c r="AF31">
        <v>65.709999999999994</v>
      </c>
      <c r="AG31">
        <v>11.6</v>
      </c>
      <c r="AH31">
        <v>0</v>
      </c>
      <c r="AI31">
        <v>1</v>
      </c>
      <c r="AJ31">
        <v>11.25</v>
      </c>
      <c r="AK31">
        <v>36.67</v>
      </c>
      <c r="AL31">
        <v>1</v>
      </c>
      <c r="AM31">
        <v>4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6</v>
      </c>
      <c r="AT31">
        <v>0.2</v>
      </c>
      <c r="AU31" t="s">
        <v>6</v>
      </c>
      <c r="AV31">
        <v>0</v>
      </c>
      <c r="AW31">
        <v>2</v>
      </c>
      <c r="AX31">
        <v>70471791</v>
      </c>
      <c r="AY31">
        <v>1</v>
      </c>
      <c r="AZ31">
        <v>0</v>
      </c>
      <c r="BA31">
        <v>30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f>ROUND(Y31*Source!I36*DO31,7)</f>
        <v>0</v>
      </c>
      <c r="CX31">
        <f>ROUND(Y31*Source!I36,7)</f>
        <v>0.24</v>
      </c>
      <c r="CY31">
        <f>AB31</f>
        <v>739.24</v>
      </c>
      <c r="CZ31">
        <f>AF31</f>
        <v>65.709999999999994</v>
      </c>
      <c r="DA31">
        <f>AJ31</f>
        <v>11.25</v>
      </c>
      <c r="DB31">
        <f t="shared" si="2"/>
        <v>13.14</v>
      </c>
      <c r="DC31">
        <f t="shared" si="3"/>
        <v>2.3199999999999998</v>
      </c>
      <c r="DD31" t="s">
        <v>6</v>
      </c>
      <c r="DE31" t="s">
        <v>6</v>
      </c>
      <c r="DF31">
        <f t="shared" si="5"/>
        <v>0</v>
      </c>
      <c r="DG31">
        <f>ROUND(ROUND(AF31*AJ31,2)*CX31,2)</f>
        <v>177.42</v>
      </c>
      <c r="DH31">
        <f>Source!I36*SmtRes!Y31</f>
        <v>0.24</v>
      </c>
      <c r="DI31">
        <f>AB31</f>
        <v>739.24</v>
      </c>
      <c r="DJ31">
        <f>EtalonRes!Z30</f>
        <v>65.709999999999994</v>
      </c>
      <c r="DK31" t="e">
        <f>Source!BB36</f>
        <v>#REF!</v>
      </c>
      <c r="DL31" t="s">
        <v>6</v>
      </c>
      <c r="DM31">
        <v>0</v>
      </c>
      <c r="DN31" t="s">
        <v>6</v>
      </c>
      <c r="DO31">
        <v>0</v>
      </c>
      <c r="GQ31">
        <v>-1</v>
      </c>
      <c r="GR31">
        <v>-1</v>
      </c>
    </row>
    <row r="32" spans="1:200" x14ac:dyDescent="0.2">
      <c r="A32">
        <f>ROW(Source!A36)</f>
        <v>36</v>
      </c>
      <c r="B32">
        <v>70471737</v>
      </c>
      <c r="C32">
        <v>70470244</v>
      </c>
      <c r="D32">
        <v>49523499</v>
      </c>
      <c r="E32">
        <v>1</v>
      </c>
      <c r="F32">
        <v>1</v>
      </c>
      <c r="G32">
        <v>1</v>
      </c>
      <c r="H32">
        <v>3</v>
      </c>
      <c r="I32" t="s">
        <v>309</v>
      </c>
      <c r="J32" t="s">
        <v>310</v>
      </c>
      <c r="K32" t="s">
        <v>311</v>
      </c>
      <c r="L32">
        <v>1302</v>
      </c>
      <c r="N32">
        <v>1003</v>
      </c>
      <c r="O32" t="s">
        <v>312</v>
      </c>
      <c r="P32" t="s">
        <v>312</v>
      </c>
      <c r="Q32">
        <v>10</v>
      </c>
      <c r="W32">
        <v>0</v>
      </c>
      <c r="X32">
        <v>-893440473</v>
      </c>
      <c r="Y32" s="60">
        <f>'5.Ведомость_списания'!F44</f>
        <v>9.6000000000000002E-2</v>
      </c>
      <c r="AA32">
        <v>35.119999999999997</v>
      </c>
      <c r="AB32">
        <v>0</v>
      </c>
      <c r="AC32">
        <v>0</v>
      </c>
      <c r="AD32">
        <v>0</v>
      </c>
      <c r="AE32">
        <v>6.9</v>
      </c>
      <c r="AF32">
        <v>0</v>
      </c>
      <c r="AG32">
        <v>0</v>
      </c>
      <c r="AH32">
        <v>0</v>
      </c>
      <c r="AI32">
        <v>5.09</v>
      </c>
      <c r="AJ32">
        <v>1</v>
      </c>
      <c r="AK32">
        <v>1</v>
      </c>
      <c r="AL32">
        <v>1</v>
      </c>
      <c r="AM32">
        <v>4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6</v>
      </c>
      <c r="AT32">
        <v>9.6000000000000002E-2</v>
      </c>
      <c r="AU32" t="s">
        <v>6</v>
      </c>
      <c r="AV32">
        <v>0</v>
      </c>
      <c r="AW32">
        <v>2</v>
      </c>
      <c r="AX32">
        <v>70471792</v>
      </c>
      <c r="AY32">
        <v>1</v>
      </c>
      <c r="AZ32">
        <v>0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ROUND(Y32*Source!I36,7)</f>
        <v>0.1152</v>
      </c>
      <c r="CY32">
        <f>AA32</f>
        <v>35.119999999999997</v>
      </c>
      <c r="CZ32">
        <f>AE32</f>
        <v>6.9</v>
      </c>
      <c r="DA32">
        <f>AI32</f>
        <v>5.09</v>
      </c>
      <c r="DB32">
        <f t="shared" si="2"/>
        <v>0.66</v>
      </c>
      <c r="DC32">
        <f t="shared" si="3"/>
        <v>0</v>
      </c>
      <c r="DD32" t="s">
        <v>6</v>
      </c>
      <c r="DE32" t="s">
        <v>6</v>
      </c>
      <c r="DF32">
        <f>ROUND(ROUND(AE32*AI32,2)*CX32,2)</f>
        <v>4.05</v>
      </c>
      <c r="DG32">
        <f t="shared" ref="DG32:DG37" si="6">ROUND(ROUND(AF32,2)*CX32,2)</f>
        <v>0</v>
      </c>
      <c r="DH32">
        <f>Source!I36*SmtRes!Y32</f>
        <v>0.1152</v>
      </c>
      <c r="DI32">
        <f>AA32</f>
        <v>35.119999999999997</v>
      </c>
      <c r="DJ32">
        <f>EtalonRes!Y31</f>
        <v>6.9</v>
      </c>
      <c r="DK32" t="e">
        <f>Source!BC36</f>
        <v>#REF!</v>
      </c>
      <c r="DL32" t="s">
        <v>6</v>
      </c>
      <c r="DM32">
        <v>0</v>
      </c>
      <c r="DN32" t="s">
        <v>6</v>
      </c>
      <c r="DO32">
        <v>0</v>
      </c>
      <c r="GQ32">
        <v>-1</v>
      </c>
      <c r="GR32">
        <v>-1</v>
      </c>
    </row>
    <row r="33" spans="1:200" x14ac:dyDescent="0.2">
      <c r="A33">
        <f>ROW(Source!A36)</f>
        <v>36</v>
      </c>
      <c r="B33">
        <v>70471737</v>
      </c>
      <c r="C33">
        <v>70470244</v>
      </c>
      <c r="D33">
        <v>49545859</v>
      </c>
      <c r="E33">
        <v>1</v>
      </c>
      <c r="F33">
        <v>1</v>
      </c>
      <c r="G33">
        <v>1</v>
      </c>
      <c r="H33">
        <v>3</v>
      </c>
      <c r="I33" t="s">
        <v>313</v>
      </c>
      <c r="J33" t="s">
        <v>314</v>
      </c>
      <c r="K33" t="s">
        <v>315</v>
      </c>
      <c r="L33">
        <v>1348</v>
      </c>
      <c r="N33">
        <v>1009</v>
      </c>
      <c r="O33" t="s">
        <v>299</v>
      </c>
      <c r="P33" t="s">
        <v>299</v>
      </c>
      <c r="Q33">
        <v>1000</v>
      </c>
      <c r="W33">
        <v>0</v>
      </c>
      <c r="X33">
        <v>-304607572</v>
      </c>
      <c r="Y33" s="60">
        <f>'5.Ведомость_списания'!F45</f>
        <v>5.0000000000000001E-4</v>
      </c>
      <c r="AA33">
        <v>346374.5</v>
      </c>
      <c r="AB33">
        <v>0</v>
      </c>
      <c r="AC33">
        <v>0</v>
      </c>
      <c r="AD33">
        <v>0</v>
      </c>
      <c r="AE33">
        <v>68050</v>
      </c>
      <c r="AF33">
        <v>0</v>
      </c>
      <c r="AG33">
        <v>0</v>
      </c>
      <c r="AH33">
        <v>0</v>
      </c>
      <c r="AI33">
        <v>5.09</v>
      </c>
      <c r="AJ33">
        <v>1</v>
      </c>
      <c r="AK33">
        <v>1</v>
      </c>
      <c r="AL33">
        <v>1</v>
      </c>
      <c r="AM33">
        <v>4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6</v>
      </c>
      <c r="AT33">
        <v>5.0000000000000001E-4</v>
      </c>
      <c r="AU33" t="s">
        <v>6</v>
      </c>
      <c r="AV33">
        <v>0</v>
      </c>
      <c r="AW33">
        <v>2</v>
      </c>
      <c r="AX33">
        <v>70471793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ROUND(Y33*Source!I36,7)</f>
        <v>5.9999999999999995E-4</v>
      </c>
      <c r="CY33">
        <f>AA33</f>
        <v>346374.5</v>
      </c>
      <c r="CZ33">
        <f>AE33</f>
        <v>68050</v>
      </c>
      <c r="DA33">
        <f>AI33</f>
        <v>5.09</v>
      </c>
      <c r="DB33">
        <f t="shared" si="2"/>
        <v>34.03</v>
      </c>
      <c r="DC33">
        <f t="shared" si="3"/>
        <v>0</v>
      </c>
      <c r="DD33" t="s">
        <v>6</v>
      </c>
      <c r="DE33" t="s">
        <v>6</v>
      </c>
      <c r="DF33">
        <f>ROUND(ROUND(AE33*AI33,2)*CX33,2)</f>
        <v>207.82</v>
      </c>
      <c r="DG33">
        <f t="shared" si="6"/>
        <v>0</v>
      </c>
      <c r="DH33">
        <f>Source!I36*SmtRes!Y33</f>
        <v>5.9999999999999995E-4</v>
      </c>
      <c r="DI33">
        <f>AA33</f>
        <v>346374.5</v>
      </c>
      <c r="DJ33">
        <f>EtalonRes!Y32</f>
        <v>68050</v>
      </c>
      <c r="DK33" t="e">
        <f>Source!BC36</f>
        <v>#REF!</v>
      </c>
      <c r="DL33" t="s">
        <v>6</v>
      </c>
      <c r="DM33">
        <v>0</v>
      </c>
      <c r="DN33" t="s">
        <v>6</v>
      </c>
      <c r="DO33">
        <v>0</v>
      </c>
      <c r="GQ33">
        <v>-1</v>
      </c>
      <c r="GR33">
        <v>-1</v>
      </c>
    </row>
    <row r="34" spans="1:200" x14ac:dyDescent="0.2">
      <c r="A34">
        <f>ROW(Source!A36)</f>
        <v>36</v>
      </c>
      <c r="B34">
        <v>70471737</v>
      </c>
      <c r="C34">
        <v>70470244</v>
      </c>
      <c r="D34">
        <v>49554619</v>
      </c>
      <c r="E34">
        <v>1</v>
      </c>
      <c r="F34">
        <v>1</v>
      </c>
      <c r="G34">
        <v>1</v>
      </c>
      <c r="H34">
        <v>3</v>
      </c>
      <c r="I34" t="s">
        <v>316</v>
      </c>
      <c r="J34" t="s">
        <v>317</v>
      </c>
      <c r="K34" t="s">
        <v>318</v>
      </c>
      <c r="L34">
        <v>1348</v>
      </c>
      <c r="N34">
        <v>1009</v>
      </c>
      <c r="O34" t="s">
        <v>299</v>
      </c>
      <c r="P34" t="s">
        <v>299</v>
      </c>
      <c r="Q34">
        <v>1000</v>
      </c>
      <c r="W34">
        <v>0</v>
      </c>
      <c r="X34">
        <v>2092961430</v>
      </c>
      <c r="Y34" s="60">
        <f>'5.Ведомость_списания'!F46</f>
        <v>6.0000000000000002E-5</v>
      </c>
      <c r="AA34">
        <v>39838.92</v>
      </c>
      <c r="AB34">
        <v>0</v>
      </c>
      <c r="AC34">
        <v>0</v>
      </c>
      <c r="AD34">
        <v>0</v>
      </c>
      <c r="AE34">
        <v>7826.9</v>
      </c>
      <c r="AF34">
        <v>0</v>
      </c>
      <c r="AG34">
        <v>0</v>
      </c>
      <c r="AH34">
        <v>0</v>
      </c>
      <c r="AI34">
        <v>5.09</v>
      </c>
      <c r="AJ34">
        <v>1</v>
      </c>
      <c r="AK34">
        <v>1</v>
      </c>
      <c r="AL34">
        <v>1</v>
      </c>
      <c r="AM34">
        <v>4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6</v>
      </c>
      <c r="AT34">
        <v>6.0000000000000002E-5</v>
      </c>
      <c r="AU34" t="s">
        <v>6</v>
      </c>
      <c r="AV34">
        <v>0</v>
      </c>
      <c r="AW34">
        <v>2</v>
      </c>
      <c r="AX34">
        <v>70471794</v>
      </c>
      <c r="AY34">
        <v>1</v>
      </c>
      <c r="AZ34">
        <v>0</v>
      </c>
      <c r="BA34">
        <v>33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ROUND(Y34*Source!I36,7)</f>
        <v>7.2000000000000002E-5</v>
      </c>
      <c r="CY34">
        <f>AA34</f>
        <v>39838.92</v>
      </c>
      <c r="CZ34">
        <f>AE34</f>
        <v>7826.9</v>
      </c>
      <c r="DA34">
        <f>AI34</f>
        <v>5.09</v>
      </c>
      <c r="DB34">
        <f t="shared" si="2"/>
        <v>0.47</v>
      </c>
      <c r="DC34">
        <f t="shared" si="3"/>
        <v>0</v>
      </c>
      <c r="DD34" t="s">
        <v>6</v>
      </c>
      <c r="DE34" t="s">
        <v>6</v>
      </c>
      <c r="DF34">
        <f>ROUND(ROUND(AE34*AI34,2)*CX34,2)</f>
        <v>2.87</v>
      </c>
      <c r="DG34">
        <f t="shared" si="6"/>
        <v>0</v>
      </c>
      <c r="DH34">
        <f>Source!I36*SmtRes!Y34</f>
        <v>7.2000000000000002E-5</v>
      </c>
      <c r="DI34">
        <f>AA34</f>
        <v>39838.92</v>
      </c>
      <c r="DJ34">
        <f>EtalonRes!Y33</f>
        <v>7826.9</v>
      </c>
      <c r="DK34" t="e">
        <f>Source!BC36</f>
        <v>#REF!</v>
      </c>
      <c r="DL34" t="s">
        <v>6</v>
      </c>
      <c r="DM34">
        <v>0</v>
      </c>
      <c r="DN34" t="s">
        <v>6</v>
      </c>
      <c r="DO34">
        <v>0</v>
      </c>
      <c r="GQ34">
        <v>-1</v>
      </c>
      <c r="GR34">
        <v>-1</v>
      </c>
    </row>
    <row r="35" spans="1:200" x14ac:dyDescent="0.2">
      <c r="A35">
        <f>ROW(Source!A36)</f>
        <v>36</v>
      </c>
      <c r="B35">
        <v>70471737</v>
      </c>
      <c r="C35">
        <v>70470244</v>
      </c>
      <c r="D35">
        <v>49515638</v>
      </c>
      <c r="E35">
        <v>70</v>
      </c>
      <c r="F35">
        <v>1</v>
      </c>
      <c r="G35">
        <v>1</v>
      </c>
      <c r="H35">
        <v>3</v>
      </c>
      <c r="I35" t="s">
        <v>291</v>
      </c>
      <c r="J35" t="s">
        <v>6</v>
      </c>
      <c r="K35" t="s">
        <v>292</v>
      </c>
      <c r="L35">
        <v>1374</v>
      </c>
      <c r="N35">
        <v>1013</v>
      </c>
      <c r="O35" t="s">
        <v>293</v>
      </c>
      <c r="P35" t="s">
        <v>293</v>
      </c>
      <c r="Q35">
        <v>1</v>
      </c>
      <c r="W35">
        <v>0</v>
      </c>
      <c r="X35">
        <v>-1731369543</v>
      </c>
      <c r="Y35" s="60">
        <f>'5.Ведомость_списания'!F47</f>
        <v>4.33</v>
      </c>
      <c r="AA35">
        <v>5.09</v>
      </c>
      <c r="AB35">
        <v>0</v>
      </c>
      <c r="AC35">
        <v>0</v>
      </c>
      <c r="AD35">
        <v>0</v>
      </c>
      <c r="AE35">
        <v>1</v>
      </c>
      <c r="AF35">
        <v>0</v>
      </c>
      <c r="AG35">
        <v>0</v>
      </c>
      <c r="AH35">
        <v>0</v>
      </c>
      <c r="AI35">
        <v>5.09</v>
      </c>
      <c r="AJ35">
        <v>1</v>
      </c>
      <c r="AK35">
        <v>1</v>
      </c>
      <c r="AL35">
        <v>1</v>
      </c>
      <c r="AM35">
        <v>4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6</v>
      </c>
      <c r="AT35">
        <v>4.33</v>
      </c>
      <c r="AU35" t="s">
        <v>6</v>
      </c>
      <c r="AV35">
        <v>0</v>
      </c>
      <c r="AW35">
        <v>2</v>
      </c>
      <c r="AX35">
        <v>70471795</v>
      </c>
      <c r="AY35">
        <v>1</v>
      </c>
      <c r="AZ35">
        <v>0</v>
      </c>
      <c r="BA35">
        <v>34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ROUND(Y35*Source!I36,7)</f>
        <v>5.1959999999999997</v>
      </c>
      <c r="CY35">
        <f>AA35</f>
        <v>5.09</v>
      </c>
      <c r="CZ35">
        <f>AE35</f>
        <v>1</v>
      </c>
      <c r="DA35">
        <f>AI35</f>
        <v>5.09</v>
      </c>
      <c r="DB35">
        <f t="shared" si="2"/>
        <v>4.33</v>
      </c>
      <c r="DC35">
        <f t="shared" si="3"/>
        <v>0</v>
      </c>
      <c r="DD35" t="s">
        <v>6</v>
      </c>
      <c r="DE35" t="s">
        <v>6</v>
      </c>
      <c r="DF35">
        <f>ROUND(ROUND(AE35*AI35,2)*CX35,2)</f>
        <v>26.45</v>
      </c>
      <c r="DG35">
        <f t="shared" si="6"/>
        <v>0</v>
      </c>
      <c r="DH35">
        <f>Source!I36*SmtRes!Y35</f>
        <v>5.1959999999999997</v>
      </c>
      <c r="DI35">
        <f>AA35</f>
        <v>5.09</v>
      </c>
      <c r="DJ35">
        <f>EtalonRes!Y34</f>
        <v>1</v>
      </c>
      <c r="DK35" t="e">
        <f>Source!BC36</f>
        <v>#REF!</v>
      </c>
      <c r="DL35" t="s">
        <v>6</v>
      </c>
      <c r="DM35">
        <v>0</v>
      </c>
      <c r="DN35" t="s">
        <v>6</v>
      </c>
      <c r="DO35">
        <v>0</v>
      </c>
      <c r="GQ35">
        <v>-1</v>
      </c>
      <c r="GR35">
        <v>-1</v>
      </c>
    </row>
    <row r="36" spans="1:200" x14ac:dyDescent="0.2">
      <c r="A36">
        <f>ROW(Source!A37)</f>
        <v>37</v>
      </c>
      <c r="B36">
        <v>70471737</v>
      </c>
      <c r="C36">
        <v>70470265</v>
      </c>
      <c r="D36">
        <v>49510749</v>
      </c>
      <c r="E36">
        <v>70</v>
      </c>
      <c r="F36">
        <v>1</v>
      </c>
      <c r="G36">
        <v>1</v>
      </c>
      <c r="H36">
        <v>1</v>
      </c>
      <c r="I36" t="s">
        <v>283</v>
      </c>
      <c r="J36" t="s">
        <v>6</v>
      </c>
      <c r="K36" t="s">
        <v>284</v>
      </c>
      <c r="L36">
        <v>1191</v>
      </c>
      <c r="N36">
        <v>1013</v>
      </c>
      <c r="O36" t="s">
        <v>263</v>
      </c>
      <c r="P36" t="s">
        <v>263</v>
      </c>
      <c r="Q36">
        <v>1</v>
      </c>
      <c r="W36">
        <v>0</v>
      </c>
      <c r="X36">
        <v>-2012709214</v>
      </c>
      <c r="Y36">
        <f t="shared" ref="Y36:Y63" si="7">AT36</f>
        <v>29.44</v>
      </c>
      <c r="AA36">
        <v>0</v>
      </c>
      <c r="AB36">
        <v>0</v>
      </c>
      <c r="AC36">
        <v>0</v>
      </c>
      <c r="AD36">
        <v>344.7</v>
      </c>
      <c r="AE36">
        <v>0</v>
      </c>
      <c r="AF36">
        <v>0</v>
      </c>
      <c r="AG36">
        <v>0</v>
      </c>
      <c r="AH36">
        <v>9.4</v>
      </c>
      <c r="AI36">
        <v>1</v>
      </c>
      <c r="AJ36">
        <v>1</v>
      </c>
      <c r="AK36">
        <v>1</v>
      </c>
      <c r="AL36">
        <v>36.67</v>
      </c>
      <c r="AM36">
        <v>4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6</v>
      </c>
      <c r="AT36">
        <v>29.44</v>
      </c>
      <c r="AU36" t="s">
        <v>6</v>
      </c>
      <c r="AV36">
        <v>1</v>
      </c>
      <c r="AW36">
        <v>2</v>
      </c>
      <c r="AX36">
        <v>70471797</v>
      </c>
      <c r="AY36">
        <v>1</v>
      </c>
      <c r="AZ36">
        <v>0</v>
      </c>
      <c r="BA36">
        <v>35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U36">
        <f>ROUND(AT36*Source!I37*AH36*AL36,2)</f>
        <v>15830.74</v>
      </c>
      <c r="CV36">
        <f>ROUND(Y36*Source!I37,7)</f>
        <v>45.926400000000001</v>
      </c>
      <c r="CW36">
        <v>0</v>
      </c>
      <c r="CX36">
        <f>ROUND(Y36*Source!I37,7)</f>
        <v>45.926400000000001</v>
      </c>
      <c r="CY36">
        <f>AD36</f>
        <v>344.7</v>
      </c>
      <c r="CZ36">
        <f>AH36</f>
        <v>9.4</v>
      </c>
      <c r="DA36">
        <f>AL36</f>
        <v>36.67</v>
      </c>
      <c r="DB36">
        <f t="shared" ref="DB36:DB67" si="8">ROUND(ROUND(AT36*CZ36,2),2)</f>
        <v>276.74</v>
      </c>
      <c r="DC36">
        <f t="shared" ref="DC36:DC67" si="9">ROUND(ROUND(AT36*AG36,2),2)</f>
        <v>0</v>
      </c>
      <c r="DD36" t="s">
        <v>6</v>
      </c>
      <c r="DE36" t="s">
        <v>6</v>
      </c>
      <c r="DF36">
        <f t="shared" ref="DF36:DF41" si="10">ROUND(ROUND(AE36,2)*CX36,2)</f>
        <v>0</v>
      </c>
      <c r="DG36">
        <f t="shared" si="6"/>
        <v>0</v>
      </c>
      <c r="DH36">
        <f>Source!I37*SmtRes!Y36</f>
        <v>45.926400000000001</v>
      </c>
      <c r="DI36">
        <f>AD36</f>
        <v>344.7</v>
      </c>
      <c r="DJ36">
        <f>EtalonRes!AB35</f>
        <v>9.4</v>
      </c>
      <c r="DK36" t="e">
        <f>Source!BA37</f>
        <v>#REF!</v>
      </c>
      <c r="DL36" t="s">
        <v>6</v>
      </c>
      <c r="DM36">
        <v>0</v>
      </c>
      <c r="DN36" t="s">
        <v>6</v>
      </c>
      <c r="DO36">
        <v>0</v>
      </c>
      <c r="GQ36">
        <v>-1</v>
      </c>
      <c r="GR36">
        <v>-1</v>
      </c>
    </row>
    <row r="37" spans="1:200" x14ac:dyDescent="0.2">
      <c r="A37">
        <f>ROW(Source!A37)</f>
        <v>37</v>
      </c>
      <c r="B37">
        <v>70471737</v>
      </c>
      <c r="C37">
        <v>70470265</v>
      </c>
      <c r="D37">
        <v>49510905</v>
      </c>
      <c r="E37">
        <v>70</v>
      </c>
      <c r="F37">
        <v>1</v>
      </c>
      <c r="G37">
        <v>1</v>
      </c>
      <c r="H37">
        <v>1</v>
      </c>
      <c r="I37" t="s">
        <v>261</v>
      </c>
      <c r="J37" t="s">
        <v>6</v>
      </c>
      <c r="K37" t="s">
        <v>262</v>
      </c>
      <c r="L37">
        <v>1191</v>
      </c>
      <c r="N37">
        <v>1013</v>
      </c>
      <c r="O37" t="s">
        <v>263</v>
      </c>
      <c r="P37" t="s">
        <v>263</v>
      </c>
      <c r="Q37">
        <v>1</v>
      </c>
      <c r="W37">
        <v>0</v>
      </c>
      <c r="X37">
        <v>-1417349443</v>
      </c>
      <c r="Y37">
        <f t="shared" si="7"/>
        <v>0.4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36.67</v>
      </c>
      <c r="AL37">
        <v>1</v>
      </c>
      <c r="AM37">
        <v>4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6</v>
      </c>
      <c r="AT37">
        <v>0.4</v>
      </c>
      <c r="AU37" t="s">
        <v>6</v>
      </c>
      <c r="AV37">
        <v>2</v>
      </c>
      <c r="AW37">
        <v>2</v>
      </c>
      <c r="AX37">
        <v>70471798</v>
      </c>
      <c r="AY37">
        <v>1</v>
      </c>
      <c r="AZ37">
        <v>0</v>
      </c>
      <c r="BA37">
        <v>36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ROUND(Y37*Source!I37,7)</f>
        <v>0.624</v>
      </c>
      <c r="CY37">
        <f>AD37</f>
        <v>0</v>
      </c>
      <c r="CZ37">
        <f>AH37</f>
        <v>0</v>
      </c>
      <c r="DA37">
        <f>AL37</f>
        <v>1</v>
      </c>
      <c r="DB37">
        <f t="shared" si="8"/>
        <v>0</v>
      </c>
      <c r="DC37">
        <f t="shared" si="9"/>
        <v>0</v>
      </c>
      <c r="DD37" t="s">
        <v>6</v>
      </c>
      <c r="DE37" t="s">
        <v>6</v>
      </c>
      <c r="DF37">
        <f t="shared" si="10"/>
        <v>0</v>
      </c>
      <c r="DG37">
        <f t="shared" si="6"/>
        <v>0</v>
      </c>
      <c r="DH37">
        <f>Source!I37*SmtRes!Y37</f>
        <v>0.62400000000000011</v>
      </c>
      <c r="DI37">
        <f>AD37</f>
        <v>0</v>
      </c>
      <c r="DJ37">
        <f>EtalonRes!AB36</f>
        <v>0</v>
      </c>
      <c r="DK37" t="e">
        <f>Source!BA37</f>
        <v>#REF!</v>
      </c>
      <c r="DL37" t="s">
        <v>6</v>
      </c>
      <c r="DM37">
        <v>0</v>
      </c>
      <c r="DN37" t="s">
        <v>6</v>
      </c>
      <c r="DO37">
        <v>0</v>
      </c>
      <c r="GQ37">
        <v>-1</v>
      </c>
      <c r="GR37">
        <v>-1</v>
      </c>
    </row>
    <row r="38" spans="1:200" x14ac:dyDescent="0.2">
      <c r="A38">
        <f>ROW(Source!A37)</f>
        <v>37</v>
      </c>
      <c r="B38">
        <v>70471737</v>
      </c>
      <c r="C38">
        <v>70470265</v>
      </c>
      <c r="D38">
        <v>49672573</v>
      </c>
      <c r="E38">
        <v>1</v>
      </c>
      <c r="F38">
        <v>1</v>
      </c>
      <c r="G38">
        <v>1</v>
      </c>
      <c r="H38">
        <v>2</v>
      </c>
      <c r="I38" t="s">
        <v>285</v>
      </c>
      <c r="J38" t="s">
        <v>286</v>
      </c>
      <c r="K38" t="s">
        <v>287</v>
      </c>
      <c r="L38">
        <v>1367</v>
      </c>
      <c r="N38">
        <v>1011</v>
      </c>
      <c r="O38" t="s">
        <v>267</v>
      </c>
      <c r="P38" t="s">
        <v>267</v>
      </c>
      <c r="Q38">
        <v>1</v>
      </c>
      <c r="W38">
        <v>0</v>
      </c>
      <c r="X38">
        <v>-430484415</v>
      </c>
      <c r="Y38">
        <f t="shared" si="7"/>
        <v>0.2</v>
      </c>
      <c r="AA38">
        <v>0</v>
      </c>
      <c r="AB38">
        <v>1298.25</v>
      </c>
      <c r="AC38">
        <v>495.05</v>
      </c>
      <c r="AD38">
        <v>0</v>
      </c>
      <c r="AE38">
        <v>0</v>
      </c>
      <c r="AF38">
        <v>115.4</v>
      </c>
      <c r="AG38">
        <v>13.5</v>
      </c>
      <c r="AH38">
        <v>0</v>
      </c>
      <c r="AI38">
        <v>1</v>
      </c>
      <c r="AJ38">
        <v>11.25</v>
      </c>
      <c r="AK38">
        <v>36.67</v>
      </c>
      <c r="AL38">
        <v>1</v>
      </c>
      <c r="AM38">
        <v>4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6</v>
      </c>
      <c r="AT38">
        <v>0.2</v>
      </c>
      <c r="AU38" t="s">
        <v>6</v>
      </c>
      <c r="AV38">
        <v>0</v>
      </c>
      <c r="AW38">
        <v>2</v>
      </c>
      <c r="AX38">
        <v>70471799</v>
      </c>
      <c r="AY38">
        <v>1</v>
      </c>
      <c r="AZ38">
        <v>0</v>
      </c>
      <c r="BA38">
        <v>37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f>ROUND(Y38*Source!I37*DO38,7)</f>
        <v>0</v>
      </c>
      <c r="CX38">
        <f>ROUND(Y38*Source!I37,7)</f>
        <v>0.312</v>
      </c>
      <c r="CY38">
        <f>AB38</f>
        <v>1298.25</v>
      </c>
      <c r="CZ38">
        <f>AF38</f>
        <v>115.4</v>
      </c>
      <c r="DA38">
        <f>AJ38</f>
        <v>11.25</v>
      </c>
      <c r="DB38">
        <f t="shared" si="8"/>
        <v>23.08</v>
      </c>
      <c r="DC38">
        <f t="shared" si="9"/>
        <v>2.7</v>
      </c>
      <c r="DD38" t="s">
        <v>6</v>
      </c>
      <c r="DE38" t="s">
        <v>6</v>
      </c>
      <c r="DF38">
        <f t="shared" si="10"/>
        <v>0</v>
      </c>
      <c r="DG38">
        <f>ROUND(ROUND(AF38*AJ38,2)*CX38,2)</f>
        <v>405.05</v>
      </c>
      <c r="DH38">
        <f>Source!I37*SmtRes!Y38</f>
        <v>0.31200000000000006</v>
      </c>
      <c r="DI38">
        <f>AB38</f>
        <v>1298.25</v>
      </c>
      <c r="DJ38">
        <f>EtalonRes!Z37</f>
        <v>115.4</v>
      </c>
      <c r="DK38" t="e">
        <f>Source!BB37</f>
        <v>#REF!</v>
      </c>
      <c r="DL38" t="s">
        <v>6</v>
      </c>
      <c r="DM38">
        <v>0</v>
      </c>
      <c r="DN38" t="s">
        <v>6</v>
      </c>
      <c r="DO38">
        <v>0</v>
      </c>
      <c r="GQ38">
        <v>-1</v>
      </c>
      <c r="GR38">
        <v>-1</v>
      </c>
    </row>
    <row r="39" spans="1:200" x14ac:dyDescent="0.2">
      <c r="A39">
        <f>ROW(Source!A37)</f>
        <v>37</v>
      </c>
      <c r="B39">
        <v>70471737</v>
      </c>
      <c r="C39">
        <v>70470265</v>
      </c>
      <c r="D39">
        <v>49672654</v>
      </c>
      <c r="E39">
        <v>1</v>
      </c>
      <c r="F39">
        <v>1</v>
      </c>
      <c r="G39">
        <v>1</v>
      </c>
      <c r="H39">
        <v>2</v>
      </c>
      <c r="I39" t="s">
        <v>303</v>
      </c>
      <c r="J39" t="s">
        <v>304</v>
      </c>
      <c r="K39" t="s">
        <v>305</v>
      </c>
      <c r="L39">
        <v>1367</v>
      </c>
      <c r="N39">
        <v>1011</v>
      </c>
      <c r="O39" t="s">
        <v>267</v>
      </c>
      <c r="P39" t="s">
        <v>267</v>
      </c>
      <c r="Q39">
        <v>1</v>
      </c>
      <c r="W39">
        <v>0</v>
      </c>
      <c r="X39">
        <v>321316643</v>
      </c>
      <c r="Y39">
        <f t="shared" si="7"/>
        <v>6.62</v>
      </c>
      <c r="AA39">
        <v>0</v>
      </c>
      <c r="AB39">
        <v>10.130000000000001</v>
      </c>
      <c r="AC39">
        <v>0</v>
      </c>
      <c r="AD39">
        <v>0</v>
      </c>
      <c r="AE39">
        <v>0</v>
      </c>
      <c r="AF39">
        <v>0.9</v>
      </c>
      <c r="AG39">
        <v>0</v>
      </c>
      <c r="AH39">
        <v>0</v>
      </c>
      <c r="AI39">
        <v>1</v>
      </c>
      <c r="AJ39">
        <v>11.25</v>
      </c>
      <c r="AK39">
        <v>36.67</v>
      </c>
      <c r="AL39">
        <v>1</v>
      </c>
      <c r="AM39">
        <v>4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6</v>
      </c>
      <c r="AT39">
        <v>6.62</v>
      </c>
      <c r="AU39" t="s">
        <v>6</v>
      </c>
      <c r="AV39">
        <v>0</v>
      </c>
      <c r="AW39">
        <v>2</v>
      </c>
      <c r="AX39">
        <v>70471800</v>
      </c>
      <c r="AY39">
        <v>1</v>
      </c>
      <c r="AZ39">
        <v>0</v>
      </c>
      <c r="BA39">
        <v>38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f>ROUND(Y39*Source!I37*DO39,7)</f>
        <v>0</v>
      </c>
      <c r="CX39">
        <f>ROUND(Y39*Source!I37,7)</f>
        <v>10.327199999999999</v>
      </c>
      <c r="CY39">
        <f>AB39</f>
        <v>10.130000000000001</v>
      </c>
      <c r="CZ39">
        <f>AF39</f>
        <v>0.9</v>
      </c>
      <c r="DA39">
        <f>AJ39</f>
        <v>11.25</v>
      </c>
      <c r="DB39">
        <f t="shared" si="8"/>
        <v>5.96</v>
      </c>
      <c r="DC39">
        <f t="shared" si="9"/>
        <v>0</v>
      </c>
      <c r="DD39" t="s">
        <v>6</v>
      </c>
      <c r="DE39" t="s">
        <v>6</v>
      </c>
      <c r="DF39">
        <f t="shared" si="10"/>
        <v>0</v>
      </c>
      <c r="DG39">
        <f>ROUND(ROUND(AF39*AJ39,2)*CX39,2)</f>
        <v>104.61</v>
      </c>
      <c r="DH39">
        <f>Source!I37*SmtRes!Y39</f>
        <v>10.327200000000001</v>
      </c>
      <c r="DI39">
        <f>AB39</f>
        <v>10.130000000000001</v>
      </c>
      <c r="DJ39">
        <f>EtalonRes!Z38</f>
        <v>0.9</v>
      </c>
      <c r="DK39" t="e">
        <f>Source!BB37</f>
        <v>#REF!</v>
      </c>
      <c r="DL39" t="s">
        <v>6</v>
      </c>
      <c r="DM39">
        <v>0</v>
      </c>
      <c r="DN39" t="s">
        <v>6</v>
      </c>
      <c r="DO39">
        <v>0</v>
      </c>
      <c r="GQ39">
        <v>-1</v>
      </c>
      <c r="GR39">
        <v>-1</v>
      </c>
    </row>
    <row r="40" spans="1:200" x14ac:dyDescent="0.2">
      <c r="A40">
        <f>ROW(Source!A37)</f>
        <v>37</v>
      </c>
      <c r="B40">
        <v>70471737</v>
      </c>
      <c r="C40">
        <v>70470265</v>
      </c>
      <c r="D40">
        <v>49672710</v>
      </c>
      <c r="E40">
        <v>1</v>
      </c>
      <c r="F40">
        <v>1</v>
      </c>
      <c r="G40">
        <v>1</v>
      </c>
      <c r="H40">
        <v>2</v>
      </c>
      <c r="I40" t="s">
        <v>306</v>
      </c>
      <c r="J40" t="s">
        <v>307</v>
      </c>
      <c r="K40" t="s">
        <v>308</v>
      </c>
      <c r="L40">
        <v>1367</v>
      </c>
      <c r="N40">
        <v>1011</v>
      </c>
      <c r="O40" t="s">
        <v>267</v>
      </c>
      <c r="P40" t="s">
        <v>267</v>
      </c>
      <c r="Q40">
        <v>1</v>
      </c>
      <c r="W40">
        <v>0</v>
      </c>
      <c r="X40">
        <v>-382331097</v>
      </c>
      <c r="Y40">
        <f t="shared" si="7"/>
        <v>6.62</v>
      </c>
      <c r="AA40">
        <v>0</v>
      </c>
      <c r="AB40">
        <v>77.63</v>
      </c>
      <c r="AC40">
        <v>0</v>
      </c>
      <c r="AD40">
        <v>0</v>
      </c>
      <c r="AE40">
        <v>0</v>
      </c>
      <c r="AF40">
        <v>6.9</v>
      </c>
      <c r="AG40">
        <v>0</v>
      </c>
      <c r="AH40">
        <v>0</v>
      </c>
      <c r="AI40">
        <v>1</v>
      </c>
      <c r="AJ40">
        <v>11.25</v>
      </c>
      <c r="AK40">
        <v>36.67</v>
      </c>
      <c r="AL40">
        <v>1</v>
      </c>
      <c r="AM40">
        <v>4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6</v>
      </c>
      <c r="AT40">
        <v>6.62</v>
      </c>
      <c r="AU40" t="s">
        <v>6</v>
      </c>
      <c r="AV40">
        <v>0</v>
      </c>
      <c r="AW40">
        <v>2</v>
      </c>
      <c r="AX40">
        <v>70471801</v>
      </c>
      <c r="AY40">
        <v>1</v>
      </c>
      <c r="AZ40">
        <v>0</v>
      </c>
      <c r="BA40">
        <v>39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f>ROUND(Y40*Source!I37*DO40,7)</f>
        <v>0</v>
      </c>
      <c r="CX40">
        <f>ROUND(Y40*Source!I37,7)</f>
        <v>10.327199999999999</v>
      </c>
      <c r="CY40">
        <f>AB40</f>
        <v>77.63</v>
      </c>
      <c r="CZ40">
        <f>AF40</f>
        <v>6.9</v>
      </c>
      <c r="DA40">
        <f>AJ40</f>
        <v>11.25</v>
      </c>
      <c r="DB40">
        <f t="shared" si="8"/>
        <v>45.68</v>
      </c>
      <c r="DC40">
        <f t="shared" si="9"/>
        <v>0</v>
      </c>
      <c r="DD40" t="s">
        <v>6</v>
      </c>
      <c r="DE40" t="s">
        <v>6</v>
      </c>
      <c r="DF40">
        <f t="shared" si="10"/>
        <v>0</v>
      </c>
      <c r="DG40">
        <f>ROUND(ROUND(AF40*AJ40,2)*CX40,2)</f>
        <v>801.7</v>
      </c>
      <c r="DH40">
        <f>Source!I37*SmtRes!Y40</f>
        <v>10.327200000000001</v>
      </c>
      <c r="DI40">
        <f>AB40</f>
        <v>77.63</v>
      </c>
      <c r="DJ40">
        <f>EtalonRes!Z39</f>
        <v>6.9</v>
      </c>
      <c r="DK40" t="e">
        <f>Source!BB37</f>
        <v>#REF!</v>
      </c>
      <c r="DL40" t="s">
        <v>6</v>
      </c>
      <c r="DM40">
        <v>0</v>
      </c>
      <c r="DN40" t="s">
        <v>6</v>
      </c>
      <c r="DO40">
        <v>0</v>
      </c>
      <c r="GQ40">
        <v>-1</v>
      </c>
      <c r="GR40">
        <v>-1</v>
      </c>
    </row>
    <row r="41" spans="1:200" x14ac:dyDescent="0.2">
      <c r="A41">
        <f>ROW(Source!A37)</f>
        <v>37</v>
      </c>
      <c r="B41">
        <v>70471737</v>
      </c>
      <c r="C41">
        <v>70470265</v>
      </c>
      <c r="D41">
        <v>49673503</v>
      </c>
      <c r="E41">
        <v>1</v>
      </c>
      <c r="F41">
        <v>1</v>
      </c>
      <c r="G41">
        <v>1</v>
      </c>
      <c r="H41">
        <v>2</v>
      </c>
      <c r="I41" t="s">
        <v>288</v>
      </c>
      <c r="J41" t="s">
        <v>289</v>
      </c>
      <c r="K41" t="s">
        <v>290</v>
      </c>
      <c r="L41">
        <v>1367</v>
      </c>
      <c r="N41">
        <v>1011</v>
      </c>
      <c r="O41" t="s">
        <v>267</v>
      </c>
      <c r="P41" t="s">
        <v>267</v>
      </c>
      <c r="Q41">
        <v>1</v>
      </c>
      <c r="W41">
        <v>0</v>
      </c>
      <c r="X41">
        <v>509054691</v>
      </c>
      <c r="Y41">
        <f t="shared" si="7"/>
        <v>0.2</v>
      </c>
      <c r="AA41">
        <v>0</v>
      </c>
      <c r="AB41">
        <v>739.24</v>
      </c>
      <c r="AC41">
        <v>425.37</v>
      </c>
      <c r="AD41">
        <v>0</v>
      </c>
      <c r="AE41">
        <v>0</v>
      </c>
      <c r="AF41">
        <v>65.709999999999994</v>
      </c>
      <c r="AG41">
        <v>11.6</v>
      </c>
      <c r="AH41">
        <v>0</v>
      </c>
      <c r="AI41">
        <v>1</v>
      </c>
      <c r="AJ41">
        <v>11.25</v>
      </c>
      <c r="AK41">
        <v>36.67</v>
      </c>
      <c r="AL41">
        <v>1</v>
      </c>
      <c r="AM41">
        <v>4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6</v>
      </c>
      <c r="AT41">
        <v>0.2</v>
      </c>
      <c r="AU41" t="s">
        <v>6</v>
      </c>
      <c r="AV41">
        <v>0</v>
      </c>
      <c r="AW41">
        <v>2</v>
      </c>
      <c r="AX41">
        <v>70471802</v>
      </c>
      <c r="AY41">
        <v>1</v>
      </c>
      <c r="AZ41">
        <v>0</v>
      </c>
      <c r="BA41">
        <v>40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f>ROUND(Y41*Source!I37*DO41,7)</f>
        <v>0</v>
      </c>
      <c r="CX41">
        <f>ROUND(Y41*Source!I37,7)</f>
        <v>0.312</v>
      </c>
      <c r="CY41">
        <f>AB41</f>
        <v>739.24</v>
      </c>
      <c r="CZ41">
        <f>AF41</f>
        <v>65.709999999999994</v>
      </c>
      <c r="DA41">
        <f>AJ41</f>
        <v>11.25</v>
      </c>
      <c r="DB41">
        <f t="shared" si="8"/>
        <v>13.14</v>
      </c>
      <c r="DC41">
        <f t="shared" si="9"/>
        <v>2.3199999999999998</v>
      </c>
      <c r="DD41" t="s">
        <v>6</v>
      </c>
      <c r="DE41" t="s">
        <v>6</v>
      </c>
      <c r="DF41">
        <f t="shared" si="10"/>
        <v>0</v>
      </c>
      <c r="DG41">
        <f>ROUND(ROUND(AF41*AJ41,2)*CX41,2)</f>
        <v>230.64</v>
      </c>
      <c r="DH41">
        <f>Source!I37*SmtRes!Y41</f>
        <v>0.31200000000000006</v>
      </c>
      <c r="DI41">
        <f>AB41</f>
        <v>739.24</v>
      </c>
      <c r="DJ41">
        <f>EtalonRes!Z40</f>
        <v>65.709999999999994</v>
      </c>
      <c r="DK41" t="e">
        <f>Source!BB37</f>
        <v>#REF!</v>
      </c>
      <c r="DL41" t="s">
        <v>6</v>
      </c>
      <c r="DM41">
        <v>0</v>
      </c>
      <c r="DN41" t="s">
        <v>6</v>
      </c>
      <c r="DO41">
        <v>0</v>
      </c>
      <c r="GQ41">
        <v>-1</v>
      </c>
      <c r="GR41">
        <v>-1</v>
      </c>
    </row>
    <row r="42" spans="1:200" x14ac:dyDescent="0.2">
      <c r="A42">
        <f>ROW(Source!A37)</f>
        <v>37</v>
      </c>
      <c r="B42">
        <v>70471737</v>
      </c>
      <c r="C42">
        <v>70470265</v>
      </c>
      <c r="D42">
        <v>49523499</v>
      </c>
      <c r="E42">
        <v>1</v>
      </c>
      <c r="F42">
        <v>1</v>
      </c>
      <c r="G42">
        <v>1</v>
      </c>
      <c r="H42">
        <v>3</v>
      </c>
      <c r="I42" t="s">
        <v>309</v>
      </c>
      <c r="J42" t="s">
        <v>310</v>
      </c>
      <c r="K42" t="s">
        <v>311</v>
      </c>
      <c r="L42">
        <v>1302</v>
      </c>
      <c r="N42">
        <v>1003</v>
      </c>
      <c r="O42" t="s">
        <v>312</v>
      </c>
      <c r="P42" t="s">
        <v>312</v>
      </c>
      <c r="Q42">
        <v>10</v>
      </c>
      <c r="W42">
        <v>0</v>
      </c>
      <c r="X42">
        <v>-893440473</v>
      </c>
      <c r="Y42" s="60">
        <f>'5.Ведомость_списания'!F49</f>
        <v>9.6000000000000002E-2</v>
      </c>
      <c r="AA42">
        <v>35.119999999999997</v>
      </c>
      <c r="AB42">
        <v>0</v>
      </c>
      <c r="AC42">
        <v>0</v>
      </c>
      <c r="AD42">
        <v>0</v>
      </c>
      <c r="AE42">
        <v>6.9</v>
      </c>
      <c r="AF42">
        <v>0</v>
      </c>
      <c r="AG42">
        <v>0</v>
      </c>
      <c r="AH42">
        <v>0</v>
      </c>
      <c r="AI42">
        <v>5.09</v>
      </c>
      <c r="AJ42">
        <v>1</v>
      </c>
      <c r="AK42">
        <v>1</v>
      </c>
      <c r="AL42">
        <v>1</v>
      </c>
      <c r="AM42">
        <v>4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6</v>
      </c>
      <c r="AT42">
        <v>9.6000000000000002E-2</v>
      </c>
      <c r="AU42" t="s">
        <v>6</v>
      </c>
      <c r="AV42">
        <v>0</v>
      </c>
      <c r="AW42">
        <v>2</v>
      </c>
      <c r="AX42">
        <v>70471803</v>
      </c>
      <c r="AY42">
        <v>1</v>
      </c>
      <c r="AZ42">
        <v>0</v>
      </c>
      <c r="BA42">
        <v>41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ROUND(Y42*Source!I37,7)</f>
        <v>0.14976</v>
      </c>
      <c r="CY42">
        <f>AA42</f>
        <v>35.119999999999997</v>
      </c>
      <c r="CZ42">
        <f>AE42</f>
        <v>6.9</v>
      </c>
      <c r="DA42">
        <f>AI42</f>
        <v>5.09</v>
      </c>
      <c r="DB42">
        <f t="shared" si="8"/>
        <v>0.66</v>
      </c>
      <c r="DC42">
        <f t="shared" si="9"/>
        <v>0</v>
      </c>
      <c r="DD42" t="s">
        <v>6</v>
      </c>
      <c r="DE42" t="s">
        <v>6</v>
      </c>
      <c r="DF42">
        <f>ROUND(ROUND(AE42*AI42,2)*CX42,2)</f>
        <v>5.26</v>
      </c>
      <c r="DG42">
        <f t="shared" ref="DG42:DG47" si="11">ROUND(ROUND(AF42,2)*CX42,2)</f>
        <v>0</v>
      </c>
      <c r="DH42">
        <f>Source!I37*SmtRes!Y42</f>
        <v>0.14976</v>
      </c>
      <c r="DI42">
        <f>AA42</f>
        <v>35.119999999999997</v>
      </c>
      <c r="DJ42">
        <f>EtalonRes!Y41</f>
        <v>6.9</v>
      </c>
      <c r="DK42" t="e">
        <f>Source!BC37</f>
        <v>#REF!</v>
      </c>
      <c r="DL42" t="s">
        <v>6</v>
      </c>
      <c r="DM42">
        <v>0</v>
      </c>
      <c r="DN42" t="s">
        <v>6</v>
      </c>
      <c r="DO42">
        <v>0</v>
      </c>
      <c r="GQ42">
        <v>-1</v>
      </c>
      <c r="GR42">
        <v>-1</v>
      </c>
    </row>
    <row r="43" spans="1:200" x14ac:dyDescent="0.2">
      <c r="A43">
        <f>ROW(Source!A37)</f>
        <v>37</v>
      </c>
      <c r="B43">
        <v>70471737</v>
      </c>
      <c r="C43">
        <v>70470265</v>
      </c>
      <c r="D43">
        <v>49545859</v>
      </c>
      <c r="E43">
        <v>1</v>
      </c>
      <c r="F43">
        <v>1</v>
      </c>
      <c r="G43">
        <v>1</v>
      </c>
      <c r="H43">
        <v>3</v>
      </c>
      <c r="I43" t="s">
        <v>313</v>
      </c>
      <c r="J43" t="s">
        <v>314</v>
      </c>
      <c r="K43" t="s">
        <v>315</v>
      </c>
      <c r="L43">
        <v>1348</v>
      </c>
      <c r="N43">
        <v>1009</v>
      </c>
      <c r="O43" t="s">
        <v>299</v>
      </c>
      <c r="P43" t="s">
        <v>299</v>
      </c>
      <c r="Q43">
        <v>1000</v>
      </c>
      <c r="W43">
        <v>0</v>
      </c>
      <c r="X43">
        <v>-304607572</v>
      </c>
      <c r="Y43" s="60">
        <f>'5.Ведомость_списания'!F50</f>
        <v>5.0000000000000001E-4</v>
      </c>
      <c r="AA43">
        <v>346374.5</v>
      </c>
      <c r="AB43">
        <v>0</v>
      </c>
      <c r="AC43">
        <v>0</v>
      </c>
      <c r="AD43">
        <v>0</v>
      </c>
      <c r="AE43">
        <v>68050</v>
      </c>
      <c r="AF43">
        <v>0</v>
      </c>
      <c r="AG43">
        <v>0</v>
      </c>
      <c r="AH43">
        <v>0</v>
      </c>
      <c r="AI43">
        <v>5.09</v>
      </c>
      <c r="AJ43">
        <v>1</v>
      </c>
      <c r="AK43">
        <v>1</v>
      </c>
      <c r="AL43">
        <v>1</v>
      </c>
      <c r="AM43">
        <v>4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6</v>
      </c>
      <c r="AT43">
        <v>5.0000000000000001E-4</v>
      </c>
      <c r="AU43" t="s">
        <v>6</v>
      </c>
      <c r="AV43">
        <v>0</v>
      </c>
      <c r="AW43">
        <v>2</v>
      </c>
      <c r="AX43">
        <v>70471804</v>
      </c>
      <c r="AY43">
        <v>1</v>
      </c>
      <c r="AZ43">
        <v>0</v>
      </c>
      <c r="BA43">
        <v>42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ROUND(Y43*Source!I37,7)</f>
        <v>7.7999999999999999E-4</v>
      </c>
      <c r="CY43">
        <f>AA43</f>
        <v>346374.5</v>
      </c>
      <c r="CZ43">
        <f>AE43</f>
        <v>68050</v>
      </c>
      <c r="DA43">
        <f>AI43</f>
        <v>5.09</v>
      </c>
      <c r="DB43">
        <f t="shared" si="8"/>
        <v>34.03</v>
      </c>
      <c r="DC43">
        <f t="shared" si="9"/>
        <v>0</v>
      </c>
      <c r="DD43" t="s">
        <v>6</v>
      </c>
      <c r="DE43" t="s">
        <v>6</v>
      </c>
      <c r="DF43">
        <f>ROUND(ROUND(AE43*AI43,2)*CX43,2)</f>
        <v>270.17</v>
      </c>
      <c r="DG43">
        <f t="shared" si="11"/>
        <v>0</v>
      </c>
      <c r="DH43">
        <f>Source!I37*SmtRes!Y43</f>
        <v>7.8000000000000009E-4</v>
      </c>
      <c r="DI43">
        <f>AA43</f>
        <v>346374.5</v>
      </c>
      <c r="DJ43">
        <f>EtalonRes!Y42</f>
        <v>68050</v>
      </c>
      <c r="DK43" t="e">
        <f>Source!BC37</f>
        <v>#REF!</v>
      </c>
      <c r="DL43" t="s">
        <v>6</v>
      </c>
      <c r="DM43">
        <v>0</v>
      </c>
      <c r="DN43" t="s">
        <v>6</v>
      </c>
      <c r="DO43">
        <v>0</v>
      </c>
      <c r="GQ43">
        <v>-1</v>
      </c>
      <c r="GR43">
        <v>-1</v>
      </c>
    </row>
    <row r="44" spans="1:200" x14ac:dyDescent="0.2">
      <c r="A44">
        <f>ROW(Source!A37)</f>
        <v>37</v>
      </c>
      <c r="B44">
        <v>70471737</v>
      </c>
      <c r="C44">
        <v>70470265</v>
      </c>
      <c r="D44">
        <v>49554619</v>
      </c>
      <c r="E44">
        <v>1</v>
      </c>
      <c r="F44">
        <v>1</v>
      </c>
      <c r="G44">
        <v>1</v>
      </c>
      <c r="H44">
        <v>3</v>
      </c>
      <c r="I44" t="s">
        <v>316</v>
      </c>
      <c r="J44" t="s">
        <v>317</v>
      </c>
      <c r="K44" t="s">
        <v>318</v>
      </c>
      <c r="L44">
        <v>1348</v>
      </c>
      <c r="N44">
        <v>1009</v>
      </c>
      <c r="O44" t="s">
        <v>299</v>
      </c>
      <c r="P44" t="s">
        <v>299</v>
      </c>
      <c r="Q44">
        <v>1000</v>
      </c>
      <c r="W44">
        <v>0</v>
      </c>
      <c r="X44">
        <v>2092961430</v>
      </c>
      <c r="Y44" s="60">
        <f>'5.Ведомость_списания'!F51</f>
        <v>6.0000000000000002E-5</v>
      </c>
      <c r="AA44">
        <v>39838.92</v>
      </c>
      <c r="AB44">
        <v>0</v>
      </c>
      <c r="AC44">
        <v>0</v>
      </c>
      <c r="AD44">
        <v>0</v>
      </c>
      <c r="AE44">
        <v>7826.9</v>
      </c>
      <c r="AF44">
        <v>0</v>
      </c>
      <c r="AG44">
        <v>0</v>
      </c>
      <c r="AH44">
        <v>0</v>
      </c>
      <c r="AI44">
        <v>5.09</v>
      </c>
      <c r="AJ44">
        <v>1</v>
      </c>
      <c r="AK44">
        <v>1</v>
      </c>
      <c r="AL44">
        <v>1</v>
      </c>
      <c r="AM44">
        <v>4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6</v>
      </c>
      <c r="AT44">
        <v>6.0000000000000002E-5</v>
      </c>
      <c r="AU44" t="s">
        <v>6</v>
      </c>
      <c r="AV44">
        <v>0</v>
      </c>
      <c r="AW44">
        <v>2</v>
      </c>
      <c r="AX44">
        <v>70471805</v>
      </c>
      <c r="AY44">
        <v>1</v>
      </c>
      <c r="AZ44">
        <v>0</v>
      </c>
      <c r="BA44">
        <v>43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ROUND(Y44*Source!I37,7)</f>
        <v>9.3599999999999998E-5</v>
      </c>
      <c r="CY44">
        <f>AA44</f>
        <v>39838.92</v>
      </c>
      <c r="CZ44">
        <f>AE44</f>
        <v>7826.9</v>
      </c>
      <c r="DA44">
        <f>AI44</f>
        <v>5.09</v>
      </c>
      <c r="DB44">
        <f t="shared" si="8"/>
        <v>0.47</v>
      </c>
      <c r="DC44">
        <f t="shared" si="9"/>
        <v>0</v>
      </c>
      <c r="DD44" t="s">
        <v>6</v>
      </c>
      <c r="DE44" t="s">
        <v>6</v>
      </c>
      <c r="DF44">
        <f>ROUND(ROUND(AE44*AI44,2)*CX44,2)</f>
        <v>3.73</v>
      </c>
      <c r="DG44">
        <f t="shared" si="11"/>
        <v>0</v>
      </c>
      <c r="DH44">
        <f>Source!I37*SmtRes!Y44</f>
        <v>9.3600000000000012E-5</v>
      </c>
      <c r="DI44">
        <f>AA44</f>
        <v>39838.92</v>
      </c>
      <c r="DJ44">
        <f>EtalonRes!Y43</f>
        <v>7826.9</v>
      </c>
      <c r="DK44" t="e">
        <f>Source!BC37</f>
        <v>#REF!</v>
      </c>
      <c r="DL44" t="s">
        <v>6</v>
      </c>
      <c r="DM44">
        <v>0</v>
      </c>
      <c r="DN44" t="s">
        <v>6</v>
      </c>
      <c r="DO44">
        <v>0</v>
      </c>
      <c r="GQ44">
        <v>-1</v>
      </c>
      <c r="GR44">
        <v>-1</v>
      </c>
    </row>
    <row r="45" spans="1:200" x14ac:dyDescent="0.2">
      <c r="A45">
        <f>ROW(Source!A37)</f>
        <v>37</v>
      </c>
      <c r="B45">
        <v>70471737</v>
      </c>
      <c r="C45">
        <v>70470265</v>
      </c>
      <c r="D45">
        <v>49515638</v>
      </c>
      <c r="E45">
        <v>70</v>
      </c>
      <c r="F45">
        <v>1</v>
      </c>
      <c r="G45">
        <v>1</v>
      </c>
      <c r="H45">
        <v>3</v>
      </c>
      <c r="I45" t="s">
        <v>291</v>
      </c>
      <c r="J45" t="s">
        <v>6</v>
      </c>
      <c r="K45" t="s">
        <v>292</v>
      </c>
      <c r="L45">
        <v>1374</v>
      </c>
      <c r="N45">
        <v>1013</v>
      </c>
      <c r="O45" t="s">
        <v>293</v>
      </c>
      <c r="P45" t="s">
        <v>293</v>
      </c>
      <c r="Q45">
        <v>1</v>
      </c>
      <c r="W45">
        <v>0</v>
      </c>
      <c r="X45">
        <v>-1731369543</v>
      </c>
      <c r="Y45" s="60">
        <f>'5.Ведомость_списания'!F52</f>
        <v>5.53</v>
      </c>
      <c r="AA45">
        <v>5.09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5.09</v>
      </c>
      <c r="AJ45">
        <v>1</v>
      </c>
      <c r="AK45">
        <v>1</v>
      </c>
      <c r="AL45">
        <v>1</v>
      </c>
      <c r="AM45">
        <v>4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6</v>
      </c>
      <c r="AT45">
        <v>5.53</v>
      </c>
      <c r="AU45" t="s">
        <v>6</v>
      </c>
      <c r="AV45">
        <v>0</v>
      </c>
      <c r="AW45">
        <v>2</v>
      </c>
      <c r="AX45">
        <v>70471806</v>
      </c>
      <c r="AY45">
        <v>1</v>
      </c>
      <c r="AZ45">
        <v>0</v>
      </c>
      <c r="BA45">
        <v>44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ROUND(Y45*Source!I37,7)</f>
        <v>8.6267999999999994</v>
      </c>
      <c r="CY45">
        <f>AA45</f>
        <v>5.09</v>
      </c>
      <c r="CZ45">
        <f>AE45</f>
        <v>1</v>
      </c>
      <c r="DA45">
        <f>AI45</f>
        <v>5.09</v>
      </c>
      <c r="DB45">
        <f t="shared" si="8"/>
        <v>5.53</v>
      </c>
      <c r="DC45">
        <f t="shared" si="9"/>
        <v>0</v>
      </c>
      <c r="DD45" t="s">
        <v>6</v>
      </c>
      <c r="DE45" t="s">
        <v>6</v>
      </c>
      <c r="DF45">
        <f>ROUND(ROUND(AE45*AI45,2)*CX45,2)</f>
        <v>43.91</v>
      </c>
      <c r="DG45">
        <f t="shared" si="11"/>
        <v>0</v>
      </c>
      <c r="DH45">
        <f>Source!I37*SmtRes!Y45</f>
        <v>8.6268000000000011</v>
      </c>
      <c r="DI45">
        <f>AA45</f>
        <v>5.09</v>
      </c>
      <c r="DJ45">
        <f>EtalonRes!Y44</f>
        <v>1</v>
      </c>
      <c r="DK45" t="e">
        <f>Source!BC37</f>
        <v>#REF!</v>
      </c>
      <c r="DL45" t="s">
        <v>6</v>
      </c>
      <c r="DM45">
        <v>0</v>
      </c>
      <c r="DN45" t="s">
        <v>6</v>
      </c>
      <c r="DO45">
        <v>0</v>
      </c>
      <c r="GQ45">
        <v>-1</v>
      </c>
      <c r="GR45">
        <v>-1</v>
      </c>
    </row>
    <row r="46" spans="1:200" x14ac:dyDescent="0.2">
      <c r="A46">
        <f>ROW(Source!A38)</f>
        <v>38</v>
      </c>
      <c r="B46">
        <v>70471737</v>
      </c>
      <c r="C46">
        <v>70471807</v>
      </c>
      <c r="D46">
        <v>31709494</v>
      </c>
      <c r="E46">
        <v>70</v>
      </c>
      <c r="F46">
        <v>1</v>
      </c>
      <c r="G46">
        <v>1</v>
      </c>
      <c r="H46">
        <v>1</v>
      </c>
      <c r="I46" t="s">
        <v>283</v>
      </c>
      <c r="J46" t="s">
        <v>6</v>
      </c>
      <c r="K46" t="s">
        <v>284</v>
      </c>
      <c r="L46">
        <v>1191</v>
      </c>
      <c r="N46">
        <v>1013</v>
      </c>
      <c r="O46" t="s">
        <v>263</v>
      </c>
      <c r="P46" t="s">
        <v>263</v>
      </c>
      <c r="Q46">
        <v>1</v>
      </c>
      <c r="W46">
        <v>0</v>
      </c>
      <c r="X46">
        <v>-2012709214</v>
      </c>
      <c r="Y46">
        <f t="shared" si="7"/>
        <v>17.440000000000001</v>
      </c>
      <c r="AA46">
        <v>0</v>
      </c>
      <c r="AB46">
        <v>0</v>
      </c>
      <c r="AC46">
        <v>0</v>
      </c>
      <c r="AD46">
        <v>344.7</v>
      </c>
      <c r="AE46">
        <v>0</v>
      </c>
      <c r="AF46">
        <v>0</v>
      </c>
      <c r="AG46">
        <v>0</v>
      </c>
      <c r="AH46">
        <v>9.4</v>
      </c>
      <c r="AI46">
        <v>1</v>
      </c>
      <c r="AJ46">
        <v>1</v>
      </c>
      <c r="AK46">
        <v>1</v>
      </c>
      <c r="AL46">
        <v>36.67</v>
      </c>
      <c r="AM46">
        <v>4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6</v>
      </c>
      <c r="AT46">
        <v>17.440000000000001</v>
      </c>
      <c r="AU46" t="s">
        <v>6</v>
      </c>
      <c r="AV46">
        <v>1</v>
      </c>
      <c r="AW46">
        <v>2</v>
      </c>
      <c r="AX46">
        <v>70471820</v>
      </c>
      <c r="AY46">
        <v>1</v>
      </c>
      <c r="AZ46">
        <v>0</v>
      </c>
      <c r="BA46">
        <v>45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U46">
        <f>ROUND(AT46*Source!I38*AH46*AL46,2)</f>
        <v>91976.46</v>
      </c>
      <c r="CV46">
        <f>ROUND(Y46*Source!I38,7)</f>
        <v>266.83199999999999</v>
      </c>
      <c r="CW46">
        <v>0</v>
      </c>
      <c r="CX46">
        <f>ROUND(Y46*Source!I38,7)</f>
        <v>266.83199999999999</v>
      </c>
      <c r="CY46">
        <f>AD46</f>
        <v>344.7</v>
      </c>
      <c r="CZ46">
        <f>AH46</f>
        <v>9.4</v>
      </c>
      <c r="DA46">
        <f>AL46</f>
        <v>36.67</v>
      </c>
      <c r="DB46">
        <f t="shared" si="8"/>
        <v>163.94</v>
      </c>
      <c r="DC46">
        <f t="shared" si="9"/>
        <v>0</v>
      </c>
      <c r="DD46" t="s">
        <v>6</v>
      </c>
      <c r="DE46" t="s">
        <v>6</v>
      </c>
      <c r="DF46">
        <f t="shared" ref="DF46:DF51" si="12">ROUND(ROUND(AE46,2)*CX46,2)</f>
        <v>0</v>
      </c>
      <c r="DG46">
        <f t="shared" si="11"/>
        <v>0</v>
      </c>
      <c r="DH46">
        <f>Source!I38*SmtRes!Y46</f>
        <v>266.83200000000005</v>
      </c>
      <c r="DI46">
        <f>AD46</f>
        <v>344.7</v>
      </c>
      <c r="DJ46">
        <f>EtalonRes!AB45</f>
        <v>9.4</v>
      </c>
      <c r="DK46" t="e">
        <f>Source!BA38</f>
        <v>#REF!</v>
      </c>
      <c r="DL46" t="s">
        <v>6</v>
      </c>
      <c r="DM46">
        <v>0</v>
      </c>
      <c r="DN46" t="s">
        <v>6</v>
      </c>
      <c r="DO46">
        <v>0</v>
      </c>
      <c r="GQ46">
        <v>-1</v>
      </c>
      <c r="GR46">
        <v>-1</v>
      </c>
    </row>
    <row r="47" spans="1:200" x14ac:dyDescent="0.2">
      <c r="A47">
        <f>ROW(Source!A38)</f>
        <v>38</v>
      </c>
      <c r="B47">
        <v>70471737</v>
      </c>
      <c r="C47">
        <v>70471807</v>
      </c>
      <c r="D47">
        <v>31709492</v>
      </c>
      <c r="E47">
        <v>70</v>
      </c>
      <c r="F47">
        <v>1</v>
      </c>
      <c r="G47">
        <v>1</v>
      </c>
      <c r="H47">
        <v>1</v>
      </c>
      <c r="I47" t="s">
        <v>261</v>
      </c>
      <c r="J47" t="s">
        <v>6</v>
      </c>
      <c r="K47" t="s">
        <v>262</v>
      </c>
      <c r="L47">
        <v>1191</v>
      </c>
      <c r="N47">
        <v>1013</v>
      </c>
      <c r="O47" t="s">
        <v>263</v>
      </c>
      <c r="P47" t="s">
        <v>263</v>
      </c>
      <c r="Q47">
        <v>1</v>
      </c>
      <c r="W47">
        <v>0</v>
      </c>
      <c r="X47">
        <v>-1417349443</v>
      </c>
      <c r="Y47">
        <f t="shared" si="7"/>
        <v>2.64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36.67</v>
      </c>
      <c r="AL47">
        <v>1</v>
      </c>
      <c r="AM47">
        <v>4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6</v>
      </c>
      <c r="AT47">
        <v>2.64</v>
      </c>
      <c r="AU47" t="s">
        <v>6</v>
      </c>
      <c r="AV47">
        <v>2</v>
      </c>
      <c r="AW47">
        <v>2</v>
      </c>
      <c r="AX47">
        <v>70471821</v>
      </c>
      <c r="AY47">
        <v>1</v>
      </c>
      <c r="AZ47">
        <v>0</v>
      </c>
      <c r="BA47">
        <v>46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V47">
        <v>0</v>
      </c>
      <c r="CW47">
        <v>0</v>
      </c>
      <c r="CX47">
        <f>ROUND(Y47*Source!I38,7)</f>
        <v>40.392000000000003</v>
      </c>
      <c r="CY47">
        <f>AD47</f>
        <v>0</v>
      </c>
      <c r="CZ47">
        <f>AH47</f>
        <v>0</v>
      </c>
      <c r="DA47">
        <f>AL47</f>
        <v>1</v>
      </c>
      <c r="DB47">
        <f t="shared" si="8"/>
        <v>0</v>
      </c>
      <c r="DC47">
        <f t="shared" si="9"/>
        <v>0</v>
      </c>
      <c r="DD47" t="s">
        <v>6</v>
      </c>
      <c r="DE47" t="s">
        <v>6</v>
      </c>
      <c r="DF47">
        <f t="shared" si="12"/>
        <v>0</v>
      </c>
      <c r="DG47">
        <f t="shared" si="11"/>
        <v>0</v>
      </c>
      <c r="DH47">
        <f>Source!I38*SmtRes!Y47</f>
        <v>40.392000000000003</v>
      </c>
      <c r="DI47">
        <f>AD47</f>
        <v>0</v>
      </c>
      <c r="DJ47">
        <f>EtalonRes!AB46</f>
        <v>0</v>
      </c>
      <c r="DK47" t="e">
        <f>Source!BA38</f>
        <v>#REF!</v>
      </c>
      <c r="DL47" t="s">
        <v>6</v>
      </c>
      <c r="DM47">
        <v>0</v>
      </c>
      <c r="DN47" t="s">
        <v>6</v>
      </c>
      <c r="DO47">
        <v>0</v>
      </c>
      <c r="GQ47">
        <v>-1</v>
      </c>
      <c r="GR47">
        <v>-1</v>
      </c>
    </row>
    <row r="48" spans="1:200" x14ac:dyDescent="0.2">
      <c r="A48">
        <f>ROW(Source!A38)</f>
        <v>38</v>
      </c>
      <c r="B48">
        <v>70471737</v>
      </c>
      <c r="C48">
        <v>70471807</v>
      </c>
      <c r="D48">
        <v>49672573</v>
      </c>
      <c r="E48">
        <v>1</v>
      </c>
      <c r="F48">
        <v>1</v>
      </c>
      <c r="G48">
        <v>1</v>
      </c>
      <c r="H48">
        <v>2</v>
      </c>
      <c r="I48" t="s">
        <v>285</v>
      </c>
      <c r="J48" t="s">
        <v>286</v>
      </c>
      <c r="K48" t="s">
        <v>287</v>
      </c>
      <c r="L48">
        <v>1367</v>
      </c>
      <c r="N48">
        <v>1011</v>
      </c>
      <c r="O48" t="s">
        <v>267</v>
      </c>
      <c r="P48" t="s">
        <v>267</v>
      </c>
      <c r="Q48">
        <v>1</v>
      </c>
      <c r="W48">
        <v>0</v>
      </c>
      <c r="X48">
        <v>-430484415</v>
      </c>
      <c r="Y48">
        <f t="shared" si="7"/>
        <v>1.32</v>
      </c>
      <c r="AA48">
        <v>0</v>
      </c>
      <c r="AB48">
        <v>1298.25</v>
      </c>
      <c r="AC48">
        <v>495.05</v>
      </c>
      <c r="AD48">
        <v>0</v>
      </c>
      <c r="AE48">
        <v>0</v>
      </c>
      <c r="AF48">
        <v>115.4</v>
      </c>
      <c r="AG48">
        <v>13.5</v>
      </c>
      <c r="AH48">
        <v>0</v>
      </c>
      <c r="AI48">
        <v>1</v>
      </c>
      <c r="AJ48">
        <v>11.25</v>
      </c>
      <c r="AK48">
        <v>36.67</v>
      </c>
      <c r="AL48">
        <v>1</v>
      </c>
      <c r="AM48">
        <v>4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6</v>
      </c>
      <c r="AT48">
        <v>1.32</v>
      </c>
      <c r="AU48" t="s">
        <v>6</v>
      </c>
      <c r="AV48">
        <v>0</v>
      </c>
      <c r="AW48">
        <v>2</v>
      </c>
      <c r="AX48">
        <v>70471822</v>
      </c>
      <c r="AY48">
        <v>1</v>
      </c>
      <c r="AZ48">
        <v>0</v>
      </c>
      <c r="BA48">
        <v>47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f>ROUND(Y48*Source!I38*DO48,7)</f>
        <v>0</v>
      </c>
      <c r="CX48">
        <f>ROUND(Y48*Source!I38,7)</f>
        <v>20.196000000000002</v>
      </c>
      <c r="CY48">
        <f>AB48</f>
        <v>1298.25</v>
      </c>
      <c r="CZ48">
        <f>AF48</f>
        <v>115.4</v>
      </c>
      <c r="DA48">
        <f>AJ48</f>
        <v>11.25</v>
      </c>
      <c r="DB48">
        <f t="shared" si="8"/>
        <v>152.33000000000001</v>
      </c>
      <c r="DC48">
        <f t="shared" si="9"/>
        <v>17.82</v>
      </c>
      <c r="DD48" t="s">
        <v>6</v>
      </c>
      <c r="DE48" t="s">
        <v>6</v>
      </c>
      <c r="DF48">
        <f t="shared" si="12"/>
        <v>0</v>
      </c>
      <c r="DG48">
        <f>ROUND(ROUND(AF48*AJ48,2)*CX48,2)</f>
        <v>26219.46</v>
      </c>
      <c r="DH48">
        <f>Source!I38*SmtRes!Y48</f>
        <v>20.196000000000002</v>
      </c>
      <c r="DI48">
        <f>AB48</f>
        <v>1298.25</v>
      </c>
      <c r="DJ48">
        <f>EtalonRes!Z47</f>
        <v>115.4</v>
      </c>
      <c r="DK48" t="e">
        <f>Source!BB38</f>
        <v>#REF!</v>
      </c>
      <c r="DL48" t="s">
        <v>6</v>
      </c>
      <c r="DM48">
        <v>0</v>
      </c>
      <c r="DN48" t="s">
        <v>6</v>
      </c>
      <c r="DO48">
        <v>0</v>
      </c>
      <c r="GQ48">
        <v>-1</v>
      </c>
      <c r="GR48">
        <v>-1</v>
      </c>
    </row>
    <row r="49" spans="1:200" x14ac:dyDescent="0.2">
      <c r="A49">
        <f>ROW(Source!A38)</f>
        <v>38</v>
      </c>
      <c r="B49">
        <v>70471737</v>
      </c>
      <c r="C49">
        <v>70471807</v>
      </c>
      <c r="D49">
        <v>49672654</v>
      </c>
      <c r="E49">
        <v>1</v>
      </c>
      <c r="F49">
        <v>1</v>
      </c>
      <c r="G49">
        <v>1</v>
      </c>
      <c r="H49">
        <v>2</v>
      </c>
      <c r="I49" t="s">
        <v>303</v>
      </c>
      <c r="J49" t="s">
        <v>304</v>
      </c>
      <c r="K49" t="s">
        <v>305</v>
      </c>
      <c r="L49">
        <v>1367</v>
      </c>
      <c r="N49">
        <v>1011</v>
      </c>
      <c r="O49" t="s">
        <v>267</v>
      </c>
      <c r="P49" t="s">
        <v>267</v>
      </c>
      <c r="Q49">
        <v>1</v>
      </c>
      <c r="W49">
        <v>0</v>
      </c>
      <c r="X49">
        <v>321316643</v>
      </c>
      <c r="Y49">
        <f t="shared" si="7"/>
        <v>3.97</v>
      </c>
      <c r="AA49">
        <v>0</v>
      </c>
      <c r="AB49">
        <v>10.130000000000001</v>
      </c>
      <c r="AC49">
        <v>0</v>
      </c>
      <c r="AD49">
        <v>0</v>
      </c>
      <c r="AE49">
        <v>0</v>
      </c>
      <c r="AF49">
        <v>0.9</v>
      </c>
      <c r="AG49">
        <v>0</v>
      </c>
      <c r="AH49">
        <v>0</v>
      </c>
      <c r="AI49">
        <v>1</v>
      </c>
      <c r="AJ49">
        <v>11.25</v>
      </c>
      <c r="AK49">
        <v>36.67</v>
      </c>
      <c r="AL49">
        <v>1</v>
      </c>
      <c r="AM49">
        <v>4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6</v>
      </c>
      <c r="AT49">
        <v>3.97</v>
      </c>
      <c r="AU49" t="s">
        <v>6</v>
      </c>
      <c r="AV49">
        <v>0</v>
      </c>
      <c r="AW49">
        <v>2</v>
      </c>
      <c r="AX49">
        <v>70471823</v>
      </c>
      <c r="AY49">
        <v>1</v>
      </c>
      <c r="AZ49">
        <v>0</v>
      </c>
      <c r="BA49">
        <v>48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f>ROUND(Y49*Source!I38*DO49,7)</f>
        <v>0</v>
      </c>
      <c r="CX49">
        <f>ROUND(Y49*Source!I38,7)</f>
        <v>60.741</v>
      </c>
      <c r="CY49">
        <f>AB49</f>
        <v>10.130000000000001</v>
      </c>
      <c r="CZ49">
        <f>AF49</f>
        <v>0.9</v>
      </c>
      <c r="DA49">
        <f>AJ49</f>
        <v>11.25</v>
      </c>
      <c r="DB49">
        <f t="shared" si="8"/>
        <v>3.57</v>
      </c>
      <c r="DC49">
        <f t="shared" si="9"/>
        <v>0</v>
      </c>
      <c r="DD49" t="s">
        <v>6</v>
      </c>
      <c r="DE49" t="s">
        <v>6</v>
      </c>
      <c r="DF49">
        <f t="shared" si="12"/>
        <v>0</v>
      </c>
      <c r="DG49">
        <f>ROUND(ROUND(AF49*AJ49,2)*CX49,2)</f>
        <v>615.30999999999995</v>
      </c>
      <c r="DH49">
        <f>Source!I38*SmtRes!Y49</f>
        <v>60.741000000000007</v>
      </c>
      <c r="DI49">
        <f>AB49</f>
        <v>10.130000000000001</v>
      </c>
      <c r="DJ49">
        <f>EtalonRes!Z48</f>
        <v>0.9</v>
      </c>
      <c r="DK49" t="e">
        <f>Source!BB38</f>
        <v>#REF!</v>
      </c>
      <c r="DL49" t="s">
        <v>6</v>
      </c>
      <c r="DM49">
        <v>0</v>
      </c>
      <c r="DN49" t="s">
        <v>6</v>
      </c>
      <c r="DO49">
        <v>0</v>
      </c>
      <c r="GQ49">
        <v>-1</v>
      </c>
      <c r="GR49">
        <v>-1</v>
      </c>
    </row>
    <row r="50" spans="1:200" x14ac:dyDescent="0.2">
      <c r="A50">
        <f>ROW(Source!A38)</f>
        <v>38</v>
      </c>
      <c r="B50">
        <v>70471737</v>
      </c>
      <c r="C50">
        <v>70471807</v>
      </c>
      <c r="D50">
        <v>49672710</v>
      </c>
      <c r="E50">
        <v>1</v>
      </c>
      <c r="F50">
        <v>1</v>
      </c>
      <c r="G50">
        <v>1</v>
      </c>
      <c r="H50">
        <v>2</v>
      </c>
      <c r="I50" t="s">
        <v>306</v>
      </c>
      <c r="J50" t="s">
        <v>307</v>
      </c>
      <c r="K50" t="s">
        <v>308</v>
      </c>
      <c r="L50">
        <v>1367</v>
      </c>
      <c r="N50">
        <v>1011</v>
      </c>
      <c r="O50" t="s">
        <v>267</v>
      </c>
      <c r="P50" t="s">
        <v>267</v>
      </c>
      <c r="Q50">
        <v>1</v>
      </c>
      <c r="W50">
        <v>0</v>
      </c>
      <c r="X50">
        <v>-382331097</v>
      </c>
      <c r="Y50">
        <f t="shared" si="7"/>
        <v>3.97</v>
      </c>
      <c r="AA50">
        <v>0</v>
      </c>
      <c r="AB50">
        <v>77.63</v>
      </c>
      <c r="AC50">
        <v>0</v>
      </c>
      <c r="AD50">
        <v>0</v>
      </c>
      <c r="AE50">
        <v>0</v>
      </c>
      <c r="AF50">
        <v>6.9</v>
      </c>
      <c r="AG50">
        <v>0</v>
      </c>
      <c r="AH50">
        <v>0</v>
      </c>
      <c r="AI50">
        <v>1</v>
      </c>
      <c r="AJ50">
        <v>11.25</v>
      </c>
      <c r="AK50">
        <v>36.67</v>
      </c>
      <c r="AL50">
        <v>1</v>
      </c>
      <c r="AM50">
        <v>4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6</v>
      </c>
      <c r="AT50">
        <v>3.97</v>
      </c>
      <c r="AU50" t="s">
        <v>6</v>
      </c>
      <c r="AV50">
        <v>0</v>
      </c>
      <c r="AW50">
        <v>2</v>
      </c>
      <c r="AX50">
        <v>70471824</v>
      </c>
      <c r="AY50">
        <v>1</v>
      </c>
      <c r="AZ50">
        <v>0</v>
      </c>
      <c r="BA50">
        <v>49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f>ROUND(Y50*Source!I38*DO50,7)</f>
        <v>0</v>
      </c>
      <c r="CX50">
        <f>ROUND(Y50*Source!I38,7)</f>
        <v>60.741</v>
      </c>
      <c r="CY50">
        <f>AB50</f>
        <v>77.63</v>
      </c>
      <c r="CZ50">
        <f>AF50</f>
        <v>6.9</v>
      </c>
      <c r="DA50">
        <f>AJ50</f>
        <v>11.25</v>
      </c>
      <c r="DB50">
        <f t="shared" si="8"/>
        <v>27.39</v>
      </c>
      <c r="DC50">
        <f t="shared" si="9"/>
        <v>0</v>
      </c>
      <c r="DD50" t="s">
        <v>6</v>
      </c>
      <c r="DE50" t="s">
        <v>6</v>
      </c>
      <c r="DF50">
        <f t="shared" si="12"/>
        <v>0</v>
      </c>
      <c r="DG50">
        <f>ROUND(ROUND(AF50*AJ50,2)*CX50,2)</f>
        <v>4715.32</v>
      </c>
      <c r="DH50">
        <f>Source!I38*SmtRes!Y50</f>
        <v>60.741000000000007</v>
      </c>
      <c r="DI50">
        <f>AB50</f>
        <v>77.63</v>
      </c>
      <c r="DJ50">
        <f>EtalonRes!Z49</f>
        <v>6.9</v>
      </c>
      <c r="DK50" t="e">
        <f>Source!BB38</f>
        <v>#REF!</v>
      </c>
      <c r="DL50" t="s">
        <v>6</v>
      </c>
      <c r="DM50">
        <v>0</v>
      </c>
      <c r="DN50" t="s">
        <v>6</v>
      </c>
      <c r="DO50">
        <v>0</v>
      </c>
      <c r="GQ50">
        <v>-1</v>
      </c>
      <c r="GR50">
        <v>-1</v>
      </c>
    </row>
    <row r="51" spans="1:200" x14ac:dyDescent="0.2">
      <c r="A51">
        <f>ROW(Source!A38)</f>
        <v>38</v>
      </c>
      <c r="B51">
        <v>70471737</v>
      </c>
      <c r="C51">
        <v>70471807</v>
      </c>
      <c r="D51">
        <v>49673503</v>
      </c>
      <c r="E51">
        <v>1</v>
      </c>
      <c r="F51">
        <v>1</v>
      </c>
      <c r="G51">
        <v>1</v>
      </c>
      <c r="H51">
        <v>2</v>
      </c>
      <c r="I51" t="s">
        <v>288</v>
      </c>
      <c r="J51" t="s">
        <v>289</v>
      </c>
      <c r="K51" t="s">
        <v>290</v>
      </c>
      <c r="L51">
        <v>1367</v>
      </c>
      <c r="N51">
        <v>1011</v>
      </c>
      <c r="O51" t="s">
        <v>267</v>
      </c>
      <c r="P51" t="s">
        <v>267</v>
      </c>
      <c r="Q51">
        <v>1</v>
      </c>
      <c r="W51">
        <v>0</v>
      </c>
      <c r="X51">
        <v>509054691</v>
      </c>
      <c r="Y51">
        <f t="shared" si="7"/>
        <v>1.32</v>
      </c>
      <c r="AA51">
        <v>0</v>
      </c>
      <c r="AB51">
        <v>739.24</v>
      </c>
      <c r="AC51">
        <v>425.37</v>
      </c>
      <c r="AD51">
        <v>0</v>
      </c>
      <c r="AE51">
        <v>0</v>
      </c>
      <c r="AF51">
        <v>65.709999999999994</v>
      </c>
      <c r="AG51">
        <v>11.6</v>
      </c>
      <c r="AH51">
        <v>0</v>
      </c>
      <c r="AI51">
        <v>1</v>
      </c>
      <c r="AJ51">
        <v>11.25</v>
      </c>
      <c r="AK51">
        <v>36.67</v>
      </c>
      <c r="AL51">
        <v>1</v>
      </c>
      <c r="AM51">
        <v>4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6</v>
      </c>
      <c r="AT51">
        <v>1.32</v>
      </c>
      <c r="AU51" t="s">
        <v>6</v>
      </c>
      <c r="AV51">
        <v>0</v>
      </c>
      <c r="AW51">
        <v>2</v>
      </c>
      <c r="AX51">
        <v>70471825</v>
      </c>
      <c r="AY51">
        <v>1</v>
      </c>
      <c r="AZ51">
        <v>0</v>
      </c>
      <c r="BA51">
        <v>50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f>ROUND(Y51*Source!I38*DO51,7)</f>
        <v>0</v>
      </c>
      <c r="CX51">
        <f>ROUND(Y51*Source!I38,7)</f>
        <v>20.196000000000002</v>
      </c>
      <c r="CY51">
        <f>AB51</f>
        <v>739.24</v>
      </c>
      <c r="CZ51">
        <f>AF51</f>
        <v>65.709999999999994</v>
      </c>
      <c r="DA51">
        <f>AJ51</f>
        <v>11.25</v>
      </c>
      <c r="DB51">
        <f t="shared" si="8"/>
        <v>86.74</v>
      </c>
      <c r="DC51">
        <f t="shared" si="9"/>
        <v>15.31</v>
      </c>
      <c r="DD51" t="s">
        <v>6</v>
      </c>
      <c r="DE51" t="s">
        <v>6</v>
      </c>
      <c r="DF51">
        <f t="shared" si="12"/>
        <v>0</v>
      </c>
      <c r="DG51">
        <f>ROUND(ROUND(AF51*AJ51,2)*CX51,2)</f>
        <v>14929.69</v>
      </c>
      <c r="DH51">
        <f>Source!I38*SmtRes!Y51</f>
        <v>20.196000000000002</v>
      </c>
      <c r="DI51">
        <f>AB51</f>
        <v>739.24</v>
      </c>
      <c r="DJ51">
        <f>EtalonRes!Z50</f>
        <v>65.709999999999994</v>
      </c>
      <c r="DK51" t="e">
        <f>Source!BB38</f>
        <v>#REF!</v>
      </c>
      <c r="DL51" t="s">
        <v>6</v>
      </c>
      <c r="DM51">
        <v>0</v>
      </c>
      <c r="DN51" t="s">
        <v>6</v>
      </c>
      <c r="DO51">
        <v>0</v>
      </c>
      <c r="GQ51">
        <v>-1</v>
      </c>
      <c r="GR51">
        <v>-1</v>
      </c>
    </row>
    <row r="52" spans="1:200" x14ac:dyDescent="0.2">
      <c r="A52">
        <f>ROW(Source!A38)</f>
        <v>38</v>
      </c>
      <c r="B52">
        <v>70471737</v>
      </c>
      <c r="C52">
        <v>70471807</v>
      </c>
      <c r="D52">
        <v>49523499</v>
      </c>
      <c r="E52">
        <v>1</v>
      </c>
      <c r="F52">
        <v>1</v>
      </c>
      <c r="G52">
        <v>1</v>
      </c>
      <c r="H52">
        <v>3</v>
      </c>
      <c r="I52" t="s">
        <v>309</v>
      </c>
      <c r="J52" t="s">
        <v>310</v>
      </c>
      <c r="K52" t="s">
        <v>311</v>
      </c>
      <c r="L52">
        <v>1302</v>
      </c>
      <c r="N52">
        <v>1003</v>
      </c>
      <c r="O52" t="s">
        <v>312</v>
      </c>
      <c r="P52" t="s">
        <v>312</v>
      </c>
      <c r="Q52">
        <v>10</v>
      </c>
      <c r="W52">
        <v>0</v>
      </c>
      <c r="X52">
        <v>-893440473</v>
      </c>
      <c r="Y52" s="60">
        <f>'5.Ведомость_списания'!F54</f>
        <v>9.6000000000000002E-2</v>
      </c>
      <c r="AA52">
        <v>35.119999999999997</v>
      </c>
      <c r="AB52">
        <v>0</v>
      </c>
      <c r="AC52">
        <v>0</v>
      </c>
      <c r="AD52">
        <v>0</v>
      </c>
      <c r="AE52">
        <v>6.9</v>
      </c>
      <c r="AF52">
        <v>0</v>
      </c>
      <c r="AG52">
        <v>0</v>
      </c>
      <c r="AH52">
        <v>0</v>
      </c>
      <c r="AI52">
        <v>5.09</v>
      </c>
      <c r="AJ52">
        <v>1</v>
      </c>
      <c r="AK52">
        <v>1</v>
      </c>
      <c r="AL52">
        <v>1</v>
      </c>
      <c r="AM52">
        <v>4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6</v>
      </c>
      <c r="AT52">
        <v>9.6000000000000002E-2</v>
      </c>
      <c r="AU52" t="s">
        <v>6</v>
      </c>
      <c r="AV52">
        <v>0</v>
      </c>
      <c r="AW52">
        <v>2</v>
      </c>
      <c r="AX52">
        <v>70471826</v>
      </c>
      <c r="AY52">
        <v>1</v>
      </c>
      <c r="AZ52">
        <v>0</v>
      </c>
      <c r="BA52">
        <v>51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ROUND(Y52*Source!I38,7)</f>
        <v>1.4688000000000001</v>
      </c>
      <c r="CY52">
        <f t="shared" ref="CY52:CY57" si="13">AA52</f>
        <v>35.119999999999997</v>
      </c>
      <c r="CZ52">
        <f t="shared" ref="CZ52:CZ57" si="14">AE52</f>
        <v>6.9</v>
      </c>
      <c r="DA52">
        <f t="shared" ref="DA52:DA57" si="15">AI52</f>
        <v>5.09</v>
      </c>
      <c r="DB52">
        <f t="shared" si="8"/>
        <v>0.66</v>
      </c>
      <c r="DC52">
        <f t="shared" si="9"/>
        <v>0</v>
      </c>
      <c r="DD52" t="s">
        <v>6</v>
      </c>
      <c r="DE52" t="s">
        <v>6</v>
      </c>
      <c r="DF52">
        <f t="shared" ref="DF52:DF57" si="16">ROUND(ROUND(AE52*AI52,2)*CX52,2)</f>
        <v>51.58</v>
      </c>
      <c r="DG52">
        <f t="shared" ref="DG52:DG59" si="17">ROUND(ROUND(AF52,2)*CX52,2)</f>
        <v>0</v>
      </c>
      <c r="DH52">
        <f>Source!I38*SmtRes!Y52</f>
        <v>1.4688000000000001</v>
      </c>
      <c r="DI52">
        <f t="shared" ref="DI52:DI57" si="18">AA52</f>
        <v>35.119999999999997</v>
      </c>
      <c r="DJ52">
        <f>EtalonRes!Y51</f>
        <v>6.9</v>
      </c>
      <c r="DK52" t="e">
        <f>Source!BC38</f>
        <v>#REF!</v>
      </c>
      <c r="DL52" t="s">
        <v>6</v>
      </c>
      <c r="DM52">
        <v>0</v>
      </c>
      <c r="DN52" t="s">
        <v>6</v>
      </c>
      <c r="DO52">
        <v>0</v>
      </c>
      <c r="GQ52">
        <v>-1</v>
      </c>
      <c r="GR52">
        <v>-1</v>
      </c>
    </row>
    <row r="53" spans="1:200" x14ac:dyDescent="0.2">
      <c r="A53">
        <f>ROW(Source!A38)</f>
        <v>38</v>
      </c>
      <c r="B53">
        <v>70471737</v>
      </c>
      <c r="C53">
        <v>70471807</v>
      </c>
      <c r="D53">
        <v>49542980</v>
      </c>
      <c r="E53">
        <v>1</v>
      </c>
      <c r="F53">
        <v>1</v>
      </c>
      <c r="G53">
        <v>1</v>
      </c>
      <c r="H53">
        <v>3</v>
      </c>
      <c r="I53" t="s">
        <v>319</v>
      </c>
      <c r="J53" t="s">
        <v>320</v>
      </c>
      <c r="K53" t="s">
        <v>321</v>
      </c>
      <c r="L53">
        <v>1348</v>
      </c>
      <c r="N53">
        <v>1009</v>
      </c>
      <c r="O53" t="s">
        <v>299</v>
      </c>
      <c r="P53" t="s">
        <v>299</v>
      </c>
      <c r="Q53">
        <v>1000</v>
      </c>
      <c r="W53">
        <v>0</v>
      </c>
      <c r="X53">
        <v>-958641064</v>
      </c>
      <c r="Y53" s="60">
        <f>'5.Ведомость_списания'!F55</f>
        <v>1E-3</v>
      </c>
      <c r="AA53">
        <v>25450</v>
      </c>
      <c r="AB53">
        <v>0</v>
      </c>
      <c r="AC53">
        <v>0</v>
      </c>
      <c r="AD53">
        <v>0</v>
      </c>
      <c r="AE53">
        <v>5000</v>
      </c>
      <c r="AF53">
        <v>0</v>
      </c>
      <c r="AG53">
        <v>0</v>
      </c>
      <c r="AH53">
        <v>0</v>
      </c>
      <c r="AI53">
        <v>5.09</v>
      </c>
      <c r="AJ53">
        <v>1</v>
      </c>
      <c r="AK53">
        <v>1</v>
      </c>
      <c r="AL53">
        <v>1</v>
      </c>
      <c r="AM53">
        <v>4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6</v>
      </c>
      <c r="AT53">
        <v>1E-3</v>
      </c>
      <c r="AU53" t="s">
        <v>6</v>
      </c>
      <c r="AV53">
        <v>0</v>
      </c>
      <c r="AW53">
        <v>2</v>
      </c>
      <c r="AX53">
        <v>70471827</v>
      </c>
      <c r="AY53">
        <v>1</v>
      </c>
      <c r="AZ53">
        <v>0</v>
      </c>
      <c r="BA53">
        <v>52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ROUND(Y53*Source!I38,7)</f>
        <v>1.5299999999999999E-2</v>
      </c>
      <c r="CY53">
        <f t="shared" si="13"/>
        <v>25450</v>
      </c>
      <c r="CZ53">
        <f t="shared" si="14"/>
        <v>5000</v>
      </c>
      <c r="DA53">
        <f t="shared" si="15"/>
        <v>5.09</v>
      </c>
      <c r="DB53">
        <f t="shared" si="8"/>
        <v>5</v>
      </c>
      <c r="DC53">
        <f t="shared" si="9"/>
        <v>0</v>
      </c>
      <c r="DD53" t="s">
        <v>6</v>
      </c>
      <c r="DE53" t="s">
        <v>6</v>
      </c>
      <c r="DF53">
        <f t="shared" si="16"/>
        <v>389.39</v>
      </c>
      <c r="DG53">
        <f t="shared" si="17"/>
        <v>0</v>
      </c>
      <c r="DH53">
        <f>Source!I38*SmtRes!Y53</f>
        <v>1.5300000000000001E-2</v>
      </c>
      <c r="DI53">
        <f t="shared" si="18"/>
        <v>25450</v>
      </c>
      <c r="DJ53">
        <f>EtalonRes!Y52</f>
        <v>5000</v>
      </c>
      <c r="DK53" t="e">
        <f>Source!BC38</f>
        <v>#REF!</v>
      </c>
      <c r="DL53" t="s">
        <v>6</v>
      </c>
      <c r="DM53">
        <v>0</v>
      </c>
      <c r="DN53" t="s">
        <v>6</v>
      </c>
      <c r="DO53">
        <v>0</v>
      </c>
      <c r="GQ53">
        <v>-1</v>
      </c>
      <c r="GR53">
        <v>-1</v>
      </c>
    </row>
    <row r="54" spans="1:200" x14ac:dyDescent="0.2">
      <c r="A54">
        <f>ROW(Source!A38)</f>
        <v>38</v>
      </c>
      <c r="B54">
        <v>70471737</v>
      </c>
      <c r="C54">
        <v>70471807</v>
      </c>
      <c r="D54">
        <v>49543056</v>
      </c>
      <c r="E54">
        <v>1</v>
      </c>
      <c r="F54">
        <v>1</v>
      </c>
      <c r="G54">
        <v>1</v>
      </c>
      <c r="H54">
        <v>3</v>
      </c>
      <c r="I54" t="s">
        <v>322</v>
      </c>
      <c r="J54" t="s">
        <v>323</v>
      </c>
      <c r="K54" t="s">
        <v>324</v>
      </c>
      <c r="L54">
        <v>1348</v>
      </c>
      <c r="N54">
        <v>1009</v>
      </c>
      <c r="O54" t="s">
        <v>299</v>
      </c>
      <c r="P54" t="s">
        <v>299</v>
      </c>
      <c r="Q54">
        <v>1000</v>
      </c>
      <c r="W54">
        <v>0</v>
      </c>
      <c r="X54">
        <v>-1120410687</v>
      </c>
      <c r="Y54" s="60">
        <f>'5.Ведомость_списания'!F56</f>
        <v>0.01</v>
      </c>
      <c r="AA54">
        <v>29333.67</v>
      </c>
      <c r="AB54">
        <v>0</v>
      </c>
      <c r="AC54">
        <v>0</v>
      </c>
      <c r="AD54">
        <v>0</v>
      </c>
      <c r="AE54">
        <v>5763</v>
      </c>
      <c r="AF54">
        <v>0</v>
      </c>
      <c r="AG54">
        <v>0</v>
      </c>
      <c r="AH54">
        <v>0</v>
      </c>
      <c r="AI54">
        <v>5.09</v>
      </c>
      <c r="AJ54">
        <v>1</v>
      </c>
      <c r="AK54">
        <v>1</v>
      </c>
      <c r="AL54">
        <v>1</v>
      </c>
      <c r="AM54">
        <v>4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6</v>
      </c>
      <c r="AT54">
        <v>0.01</v>
      </c>
      <c r="AU54" t="s">
        <v>6</v>
      </c>
      <c r="AV54">
        <v>0</v>
      </c>
      <c r="AW54">
        <v>2</v>
      </c>
      <c r="AX54">
        <v>70471828</v>
      </c>
      <c r="AY54">
        <v>1</v>
      </c>
      <c r="AZ54">
        <v>0</v>
      </c>
      <c r="BA54">
        <v>53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ROUND(Y54*Source!I38,7)</f>
        <v>0.153</v>
      </c>
      <c r="CY54">
        <f t="shared" si="13"/>
        <v>29333.67</v>
      </c>
      <c r="CZ54">
        <f t="shared" si="14"/>
        <v>5763</v>
      </c>
      <c r="DA54">
        <f t="shared" si="15"/>
        <v>5.09</v>
      </c>
      <c r="DB54">
        <f t="shared" si="8"/>
        <v>57.63</v>
      </c>
      <c r="DC54">
        <f t="shared" si="9"/>
        <v>0</v>
      </c>
      <c r="DD54" t="s">
        <v>6</v>
      </c>
      <c r="DE54" t="s">
        <v>6</v>
      </c>
      <c r="DF54">
        <f t="shared" si="16"/>
        <v>4488.05</v>
      </c>
      <c r="DG54">
        <f t="shared" si="17"/>
        <v>0</v>
      </c>
      <c r="DH54">
        <f>Source!I38*SmtRes!Y54</f>
        <v>0.153</v>
      </c>
      <c r="DI54">
        <f t="shared" si="18"/>
        <v>29333.67</v>
      </c>
      <c r="DJ54">
        <f>EtalonRes!Y53</f>
        <v>5763</v>
      </c>
      <c r="DK54" t="e">
        <f>Source!BC38</f>
        <v>#REF!</v>
      </c>
      <c r="DL54" t="s">
        <v>6</v>
      </c>
      <c r="DM54">
        <v>0</v>
      </c>
      <c r="DN54" t="s">
        <v>6</v>
      </c>
      <c r="DO54">
        <v>0</v>
      </c>
      <c r="GQ54">
        <v>-1</v>
      </c>
      <c r="GR54">
        <v>-1</v>
      </c>
    </row>
    <row r="55" spans="1:200" x14ac:dyDescent="0.2">
      <c r="A55">
        <f>ROW(Source!A38)</f>
        <v>38</v>
      </c>
      <c r="B55">
        <v>70471737</v>
      </c>
      <c r="C55">
        <v>70471807</v>
      </c>
      <c r="D55">
        <v>49554585</v>
      </c>
      <c r="E55">
        <v>1</v>
      </c>
      <c r="F55">
        <v>1</v>
      </c>
      <c r="G55">
        <v>1</v>
      </c>
      <c r="H55">
        <v>3</v>
      </c>
      <c r="I55" t="s">
        <v>325</v>
      </c>
      <c r="J55" t="s">
        <v>326</v>
      </c>
      <c r="K55" t="s">
        <v>327</v>
      </c>
      <c r="L55">
        <v>1346</v>
      </c>
      <c r="N55">
        <v>1009</v>
      </c>
      <c r="O55" t="s">
        <v>328</v>
      </c>
      <c r="P55" t="s">
        <v>328</v>
      </c>
      <c r="Q55">
        <v>1</v>
      </c>
      <c r="W55">
        <v>0</v>
      </c>
      <c r="X55">
        <v>-211331552</v>
      </c>
      <c r="Y55" s="60">
        <f>'5.Ведомость_списания'!F57</f>
        <v>0.25</v>
      </c>
      <c r="AA55">
        <v>145.57</v>
      </c>
      <c r="AB55">
        <v>0</v>
      </c>
      <c r="AC55">
        <v>0</v>
      </c>
      <c r="AD55">
        <v>0</v>
      </c>
      <c r="AE55">
        <v>28.6</v>
      </c>
      <c r="AF55">
        <v>0</v>
      </c>
      <c r="AG55">
        <v>0</v>
      </c>
      <c r="AH55">
        <v>0</v>
      </c>
      <c r="AI55">
        <v>5.09</v>
      </c>
      <c r="AJ55">
        <v>1</v>
      </c>
      <c r="AK55">
        <v>1</v>
      </c>
      <c r="AL55">
        <v>1</v>
      </c>
      <c r="AM55">
        <v>4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6</v>
      </c>
      <c r="AT55">
        <v>0.25</v>
      </c>
      <c r="AU55" t="s">
        <v>6</v>
      </c>
      <c r="AV55">
        <v>0</v>
      </c>
      <c r="AW55">
        <v>2</v>
      </c>
      <c r="AX55">
        <v>70471829</v>
      </c>
      <c r="AY55">
        <v>1</v>
      </c>
      <c r="AZ55">
        <v>0</v>
      </c>
      <c r="BA55">
        <v>54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ROUND(Y55*Source!I38,7)</f>
        <v>3.8250000000000002</v>
      </c>
      <c r="CY55">
        <f t="shared" si="13"/>
        <v>145.57</v>
      </c>
      <c r="CZ55">
        <f t="shared" si="14"/>
        <v>28.6</v>
      </c>
      <c r="DA55">
        <f t="shared" si="15"/>
        <v>5.09</v>
      </c>
      <c r="DB55">
        <f t="shared" si="8"/>
        <v>7.15</v>
      </c>
      <c r="DC55">
        <f t="shared" si="9"/>
        <v>0</v>
      </c>
      <c r="DD55" t="s">
        <v>6</v>
      </c>
      <c r="DE55" t="s">
        <v>6</v>
      </c>
      <c r="DF55">
        <f t="shared" si="16"/>
        <v>556.80999999999995</v>
      </c>
      <c r="DG55">
        <f t="shared" si="17"/>
        <v>0</v>
      </c>
      <c r="DH55">
        <f>Source!I38*SmtRes!Y55</f>
        <v>3.8250000000000002</v>
      </c>
      <c r="DI55">
        <f t="shared" si="18"/>
        <v>145.57</v>
      </c>
      <c r="DJ55">
        <f>EtalonRes!Y54</f>
        <v>28.6</v>
      </c>
      <c r="DK55" t="e">
        <f>Source!BC38</f>
        <v>#REF!</v>
      </c>
      <c r="DL55" t="s">
        <v>6</v>
      </c>
      <c r="DM55">
        <v>0</v>
      </c>
      <c r="DN55" t="s">
        <v>6</v>
      </c>
      <c r="DO55">
        <v>0</v>
      </c>
      <c r="GQ55">
        <v>-1</v>
      </c>
      <c r="GR55">
        <v>-1</v>
      </c>
    </row>
    <row r="56" spans="1:200" x14ac:dyDescent="0.2">
      <c r="A56">
        <f>ROW(Source!A38)</f>
        <v>38</v>
      </c>
      <c r="B56">
        <v>70471737</v>
      </c>
      <c r="C56">
        <v>70471807</v>
      </c>
      <c r="D56">
        <v>49554619</v>
      </c>
      <c r="E56">
        <v>1</v>
      </c>
      <c r="F56">
        <v>1</v>
      </c>
      <c r="G56">
        <v>1</v>
      </c>
      <c r="H56">
        <v>3</v>
      </c>
      <c r="I56" t="s">
        <v>316</v>
      </c>
      <c r="J56" t="s">
        <v>317</v>
      </c>
      <c r="K56" t="s">
        <v>318</v>
      </c>
      <c r="L56">
        <v>1348</v>
      </c>
      <c r="N56">
        <v>1009</v>
      </c>
      <c r="O56" t="s">
        <v>299</v>
      </c>
      <c r="P56" t="s">
        <v>299</v>
      </c>
      <c r="Q56">
        <v>1000</v>
      </c>
      <c r="W56">
        <v>0</v>
      </c>
      <c r="X56">
        <v>2092961430</v>
      </c>
      <c r="Y56" s="60">
        <f>'5.Ведомость_списания'!F58</f>
        <v>6.0000000000000002E-5</v>
      </c>
      <c r="AA56">
        <v>39838.92</v>
      </c>
      <c r="AB56">
        <v>0</v>
      </c>
      <c r="AC56">
        <v>0</v>
      </c>
      <c r="AD56">
        <v>0</v>
      </c>
      <c r="AE56">
        <v>7826.9</v>
      </c>
      <c r="AF56">
        <v>0</v>
      </c>
      <c r="AG56">
        <v>0</v>
      </c>
      <c r="AH56">
        <v>0</v>
      </c>
      <c r="AI56">
        <v>5.09</v>
      </c>
      <c r="AJ56">
        <v>1</v>
      </c>
      <c r="AK56">
        <v>1</v>
      </c>
      <c r="AL56">
        <v>1</v>
      </c>
      <c r="AM56">
        <v>4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6</v>
      </c>
      <c r="AT56">
        <v>6.0000000000000002E-5</v>
      </c>
      <c r="AU56" t="s">
        <v>6</v>
      </c>
      <c r="AV56">
        <v>0</v>
      </c>
      <c r="AW56">
        <v>2</v>
      </c>
      <c r="AX56">
        <v>70471830</v>
      </c>
      <c r="AY56">
        <v>1</v>
      </c>
      <c r="AZ56">
        <v>0</v>
      </c>
      <c r="BA56">
        <v>55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ROUND(Y56*Source!I38,7)</f>
        <v>9.1799999999999998E-4</v>
      </c>
      <c r="CY56">
        <f t="shared" si="13"/>
        <v>39838.92</v>
      </c>
      <c r="CZ56">
        <f t="shared" si="14"/>
        <v>7826.9</v>
      </c>
      <c r="DA56">
        <f t="shared" si="15"/>
        <v>5.09</v>
      </c>
      <c r="DB56">
        <f t="shared" si="8"/>
        <v>0.47</v>
      </c>
      <c r="DC56">
        <f t="shared" si="9"/>
        <v>0</v>
      </c>
      <c r="DD56" t="s">
        <v>6</v>
      </c>
      <c r="DE56" t="s">
        <v>6</v>
      </c>
      <c r="DF56">
        <f t="shared" si="16"/>
        <v>36.57</v>
      </c>
      <c r="DG56">
        <f t="shared" si="17"/>
        <v>0</v>
      </c>
      <c r="DH56">
        <f>Source!I38*SmtRes!Y56</f>
        <v>9.1800000000000009E-4</v>
      </c>
      <c r="DI56">
        <f t="shared" si="18"/>
        <v>39838.92</v>
      </c>
      <c r="DJ56">
        <f>EtalonRes!Y55</f>
        <v>7826.9</v>
      </c>
      <c r="DK56" t="e">
        <f>Source!BC38</f>
        <v>#REF!</v>
      </c>
      <c r="DL56" t="s">
        <v>6</v>
      </c>
      <c r="DM56">
        <v>0</v>
      </c>
      <c r="DN56" t="s">
        <v>6</v>
      </c>
      <c r="DO56">
        <v>0</v>
      </c>
      <c r="GQ56">
        <v>-1</v>
      </c>
      <c r="GR56">
        <v>-1</v>
      </c>
    </row>
    <row r="57" spans="1:200" x14ac:dyDescent="0.2">
      <c r="A57">
        <f>ROW(Source!A38)</f>
        <v>38</v>
      </c>
      <c r="B57">
        <v>70471737</v>
      </c>
      <c r="C57">
        <v>70471807</v>
      </c>
      <c r="D57">
        <v>49515638</v>
      </c>
      <c r="E57">
        <v>70</v>
      </c>
      <c r="F57">
        <v>1</v>
      </c>
      <c r="G57">
        <v>1</v>
      </c>
      <c r="H57">
        <v>3</v>
      </c>
      <c r="I57" t="s">
        <v>291</v>
      </c>
      <c r="J57" t="s">
        <v>6</v>
      </c>
      <c r="K57" t="s">
        <v>292</v>
      </c>
      <c r="L57">
        <v>1374</v>
      </c>
      <c r="N57">
        <v>1013</v>
      </c>
      <c r="O57" t="s">
        <v>293</v>
      </c>
      <c r="P57" t="s">
        <v>293</v>
      </c>
      <c r="Q57">
        <v>1</v>
      </c>
      <c r="W57">
        <v>0</v>
      </c>
      <c r="X57">
        <v>-1731369543</v>
      </c>
      <c r="Y57" s="60">
        <f>'5.Ведомость_списания'!F59</f>
        <v>3.28</v>
      </c>
      <c r="AA57">
        <v>5.09</v>
      </c>
      <c r="AB57">
        <v>0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0</v>
      </c>
      <c r="AI57">
        <v>5.09</v>
      </c>
      <c r="AJ57">
        <v>1</v>
      </c>
      <c r="AK57">
        <v>1</v>
      </c>
      <c r="AL57">
        <v>1</v>
      </c>
      <c r="AM57">
        <v>4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6</v>
      </c>
      <c r="AT57">
        <v>3.28</v>
      </c>
      <c r="AU57" t="s">
        <v>6</v>
      </c>
      <c r="AV57">
        <v>0</v>
      </c>
      <c r="AW57">
        <v>2</v>
      </c>
      <c r="AX57">
        <v>70471831</v>
      </c>
      <c r="AY57">
        <v>1</v>
      </c>
      <c r="AZ57">
        <v>0</v>
      </c>
      <c r="BA57">
        <v>56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ROUND(Y57*Source!I38,7)</f>
        <v>50.183999999999997</v>
      </c>
      <c r="CY57">
        <f t="shared" si="13"/>
        <v>5.09</v>
      </c>
      <c r="CZ57">
        <f t="shared" si="14"/>
        <v>1</v>
      </c>
      <c r="DA57">
        <f t="shared" si="15"/>
        <v>5.09</v>
      </c>
      <c r="DB57">
        <f t="shared" si="8"/>
        <v>3.28</v>
      </c>
      <c r="DC57">
        <f t="shared" si="9"/>
        <v>0</v>
      </c>
      <c r="DD57" t="s">
        <v>6</v>
      </c>
      <c r="DE57" t="s">
        <v>6</v>
      </c>
      <c r="DF57">
        <f t="shared" si="16"/>
        <v>255.44</v>
      </c>
      <c r="DG57">
        <f t="shared" si="17"/>
        <v>0</v>
      </c>
      <c r="DH57">
        <f>Source!I38*SmtRes!Y57</f>
        <v>50.183999999999997</v>
      </c>
      <c r="DI57">
        <f t="shared" si="18"/>
        <v>5.09</v>
      </c>
      <c r="DJ57">
        <f>EtalonRes!Y56</f>
        <v>1</v>
      </c>
      <c r="DK57" t="e">
        <f>Source!BC38</f>
        <v>#REF!</v>
      </c>
      <c r="DL57" t="s">
        <v>6</v>
      </c>
      <c r="DM57">
        <v>0</v>
      </c>
      <c r="DN57" t="s">
        <v>6</v>
      </c>
      <c r="DO57">
        <v>0</v>
      </c>
      <c r="GQ57">
        <v>-1</v>
      </c>
      <c r="GR57">
        <v>-1</v>
      </c>
    </row>
    <row r="58" spans="1:200" x14ac:dyDescent="0.2">
      <c r="A58">
        <f>ROW(Source!A39)</f>
        <v>39</v>
      </c>
      <c r="B58">
        <v>70471737</v>
      </c>
      <c r="C58">
        <v>70470332</v>
      </c>
      <c r="D58">
        <v>31709494</v>
      </c>
      <c r="E58">
        <v>70</v>
      </c>
      <c r="F58">
        <v>1</v>
      </c>
      <c r="G58">
        <v>1</v>
      </c>
      <c r="H58">
        <v>1</v>
      </c>
      <c r="I58" t="s">
        <v>283</v>
      </c>
      <c r="J58" t="s">
        <v>6</v>
      </c>
      <c r="K58" t="s">
        <v>284</v>
      </c>
      <c r="L58">
        <v>1191</v>
      </c>
      <c r="N58">
        <v>1013</v>
      </c>
      <c r="O58" t="s">
        <v>263</v>
      </c>
      <c r="P58" t="s">
        <v>263</v>
      </c>
      <c r="Q58">
        <v>1</v>
      </c>
      <c r="W58">
        <v>0</v>
      </c>
      <c r="X58">
        <v>-2012709214</v>
      </c>
      <c r="Y58">
        <f t="shared" si="7"/>
        <v>17.600000000000001</v>
      </c>
      <c r="AA58">
        <v>0</v>
      </c>
      <c r="AB58">
        <v>0</v>
      </c>
      <c r="AC58">
        <v>0</v>
      </c>
      <c r="AD58">
        <v>344.7</v>
      </c>
      <c r="AE58">
        <v>0</v>
      </c>
      <c r="AF58">
        <v>0</v>
      </c>
      <c r="AG58">
        <v>0</v>
      </c>
      <c r="AH58">
        <v>9.4</v>
      </c>
      <c r="AI58">
        <v>1</v>
      </c>
      <c r="AJ58">
        <v>1</v>
      </c>
      <c r="AK58">
        <v>1</v>
      </c>
      <c r="AL58">
        <v>36.67</v>
      </c>
      <c r="AM58">
        <v>4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6</v>
      </c>
      <c r="AT58">
        <v>17.600000000000001</v>
      </c>
      <c r="AU58" t="s">
        <v>6</v>
      </c>
      <c r="AV58">
        <v>1</v>
      </c>
      <c r="AW58">
        <v>2</v>
      </c>
      <c r="AX58">
        <v>70470345</v>
      </c>
      <c r="AY58">
        <v>1</v>
      </c>
      <c r="AZ58">
        <v>0</v>
      </c>
      <c r="BA58">
        <v>57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U58">
        <f>ROUND(AT58*Source!I39*AH58*AL58,2)</f>
        <v>88816.27</v>
      </c>
      <c r="CV58">
        <f>ROUND(Y58*Source!I39,7)</f>
        <v>257.66399999999999</v>
      </c>
      <c r="CW58">
        <v>0</v>
      </c>
      <c r="CX58">
        <f>ROUND(Y58*Source!I39,7)</f>
        <v>257.66399999999999</v>
      </c>
      <c r="CY58">
        <f>AD58</f>
        <v>344.7</v>
      </c>
      <c r="CZ58">
        <f>AH58</f>
        <v>9.4</v>
      </c>
      <c r="DA58">
        <f>AL58</f>
        <v>36.67</v>
      </c>
      <c r="DB58">
        <f t="shared" si="8"/>
        <v>165.44</v>
      </c>
      <c r="DC58">
        <f t="shared" si="9"/>
        <v>0</v>
      </c>
      <c r="DD58" t="s">
        <v>6</v>
      </c>
      <c r="DE58" t="s">
        <v>6</v>
      </c>
      <c r="DF58">
        <f t="shared" ref="DF58:DF63" si="19">ROUND(ROUND(AE58,2)*CX58,2)</f>
        <v>0</v>
      </c>
      <c r="DG58">
        <f t="shared" si="17"/>
        <v>0</v>
      </c>
      <c r="DH58">
        <f>Source!I39*SmtRes!Y58</f>
        <v>257.66400000000004</v>
      </c>
      <c r="DI58">
        <f>AD58</f>
        <v>344.7</v>
      </c>
      <c r="DJ58">
        <f>EtalonRes!AB57</f>
        <v>9.4</v>
      </c>
      <c r="DK58" t="e">
        <f>Source!BA39</f>
        <v>#REF!</v>
      </c>
      <c r="DL58" t="s">
        <v>6</v>
      </c>
      <c r="DM58">
        <v>0</v>
      </c>
      <c r="DN58" t="s">
        <v>6</v>
      </c>
      <c r="DO58">
        <v>0</v>
      </c>
      <c r="GQ58">
        <v>-1</v>
      </c>
      <c r="GR58">
        <v>-1</v>
      </c>
    </row>
    <row r="59" spans="1:200" x14ac:dyDescent="0.2">
      <c r="A59">
        <f>ROW(Source!A39)</f>
        <v>39</v>
      </c>
      <c r="B59">
        <v>70471737</v>
      </c>
      <c r="C59">
        <v>70470332</v>
      </c>
      <c r="D59">
        <v>31709492</v>
      </c>
      <c r="E59">
        <v>70</v>
      </c>
      <c r="F59">
        <v>1</v>
      </c>
      <c r="G59">
        <v>1</v>
      </c>
      <c r="H59">
        <v>1</v>
      </c>
      <c r="I59" t="s">
        <v>261</v>
      </c>
      <c r="J59" t="s">
        <v>6</v>
      </c>
      <c r="K59" t="s">
        <v>262</v>
      </c>
      <c r="L59">
        <v>1191</v>
      </c>
      <c r="N59">
        <v>1013</v>
      </c>
      <c r="O59" t="s">
        <v>263</v>
      </c>
      <c r="P59" t="s">
        <v>263</v>
      </c>
      <c r="Q59">
        <v>1</v>
      </c>
      <c r="W59">
        <v>0</v>
      </c>
      <c r="X59">
        <v>-1417349443</v>
      </c>
      <c r="Y59">
        <f t="shared" si="7"/>
        <v>3.88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36.67</v>
      </c>
      <c r="AL59">
        <v>1</v>
      </c>
      <c r="AM59">
        <v>4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6</v>
      </c>
      <c r="AT59">
        <v>3.88</v>
      </c>
      <c r="AU59" t="s">
        <v>6</v>
      </c>
      <c r="AV59">
        <v>2</v>
      </c>
      <c r="AW59">
        <v>2</v>
      </c>
      <c r="AX59">
        <v>70470346</v>
      </c>
      <c r="AY59">
        <v>1</v>
      </c>
      <c r="AZ59">
        <v>0</v>
      </c>
      <c r="BA59">
        <v>58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ROUND(Y59*Source!I39,7)</f>
        <v>56.803199999999997</v>
      </c>
      <c r="CY59">
        <f>AD59</f>
        <v>0</v>
      </c>
      <c r="CZ59">
        <f>AH59</f>
        <v>0</v>
      </c>
      <c r="DA59">
        <f>AL59</f>
        <v>1</v>
      </c>
      <c r="DB59">
        <f t="shared" si="8"/>
        <v>0</v>
      </c>
      <c r="DC59">
        <f t="shared" si="9"/>
        <v>0</v>
      </c>
      <c r="DD59" t="s">
        <v>6</v>
      </c>
      <c r="DE59" t="s">
        <v>6</v>
      </c>
      <c r="DF59">
        <f t="shared" si="19"/>
        <v>0</v>
      </c>
      <c r="DG59">
        <f t="shared" si="17"/>
        <v>0</v>
      </c>
      <c r="DH59">
        <f>Source!I39*SmtRes!Y59</f>
        <v>56.803200000000004</v>
      </c>
      <c r="DI59">
        <f>AD59</f>
        <v>0</v>
      </c>
      <c r="DJ59">
        <f>EtalonRes!AB58</f>
        <v>0</v>
      </c>
      <c r="DK59" t="e">
        <f>Source!BA39</f>
        <v>#REF!</v>
      </c>
      <c r="DL59" t="s">
        <v>6</v>
      </c>
      <c r="DM59">
        <v>0</v>
      </c>
      <c r="DN59" t="s">
        <v>6</v>
      </c>
      <c r="DO59">
        <v>0</v>
      </c>
      <c r="GQ59">
        <v>-1</v>
      </c>
      <c r="GR59">
        <v>-1</v>
      </c>
    </row>
    <row r="60" spans="1:200" x14ac:dyDescent="0.2">
      <c r="A60">
        <f>ROW(Source!A39)</f>
        <v>39</v>
      </c>
      <c r="B60">
        <v>70471737</v>
      </c>
      <c r="C60">
        <v>70470332</v>
      </c>
      <c r="D60">
        <v>49672573</v>
      </c>
      <c r="E60">
        <v>1</v>
      </c>
      <c r="F60">
        <v>1</v>
      </c>
      <c r="G60">
        <v>1</v>
      </c>
      <c r="H60">
        <v>2</v>
      </c>
      <c r="I60" t="s">
        <v>285</v>
      </c>
      <c r="J60" t="s">
        <v>286</v>
      </c>
      <c r="K60" t="s">
        <v>287</v>
      </c>
      <c r="L60">
        <v>1367</v>
      </c>
      <c r="N60">
        <v>1011</v>
      </c>
      <c r="O60" t="s">
        <v>267</v>
      </c>
      <c r="P60" t="s">
        <v>267</v>
      </c>
      <c r="Q60">
        <v>1</v>
      </c>
      <c r="W60">
        <v>0</v>
      </c>
      <c r="X60">
        <v>-430484415</v>
      </c>
      <c r="Y60">
        <f t="shared" si="7"/>
        <v>1.94</v>
      </c>
      <c r="AA60">
        <v>0</v>
      </c>
      <c r="AB60">
        <v>1298.25</v>
      </c>
      <c r="AC60">
        <v>495.05</v>
      </c>
      <c r="AD60">
        <v>0</v>
      </c>
      <c r="AE60">
        <v>0</v>
      </c>
      <c r="AF60">
        <v>115.4</v>
      </c>
      <c r="AG60">
        <v>13.5</v>
      </c>
      <c r="AH60">
        <v>0</v>
      </c>
      <c r="AI60">
        <v>1</v>
      </c>
      <c r="AJ60">
        <v>11.25</v>
      </c>
      <c r="AK60">
        <v>36.67</v>
      </c>
      <c r="AL60">
        <v>1</v>
      </c>
      <c r="AM60">
        <v>4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6</v>
      </c>
      <c r="AT60">
        <v>1.94</v>
      </c>
      <c r="AU60" t="s">
        <v>6</v>
      </c>
      <c r="AV60">
        <v>0</v>
      </c>
      <c r="AW60">
        <v>2</v>
      </c>
      <c r="AX60">
        <v>70470347</v>
      </c>
      <c r="AY60">
        <v>1</v>
      </c>
      <c r="AZ60">
        <v>0</v>
      </c>
      <c r="BA60">
        <v>59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f>ROUND(Y60*Source!I39*DO60,7)</f>
        <v>0</v>
      </c>
      <c r="CX60">
        <f>ROUND(Y60*Source!I39,7)</f>
        <v>28.401599999999998</v>
      </c>
      <c r="CY60">
        <f>AB60</f>
        <v>1298.25</v>
      </c>
      <c r="CZ60">
        <f>AF60</f>
        <v>115.4</v>
      </c>
      <c r="DA60">
        <f>AJ60</f>
        <v>11.25</v>
      </c>
      <c r="DB60">
        <f t="shared" si="8"/>
        <v>223.88</v>
      </c>
      <c r="DC60">
        <f t="shared" si="9"/>
        <v>26.19</v>
      </c>
      <c r="DD60" t="s">
        <v>6</v>
      </c>
      <c r="DE60" t="s">
        <v>6</v>
      </c>
      <c r="DF60">
        <f t="shared" si="19"/>
        <v>0</v>
      </c>
      <c r="DG60">
        <f>ROUND(ROUND(AF60*AJ60,2)*CX60,2)</f>
        <v>36872.379999999997</v>
      </c>
      <c r="DH60">
        <f>Source!I39*SmtRes!Y60</f>
        <v>28.401600000000002</v>
      </c>
      <c r="DI60">
        <f>AB60</f>
        <v>1298.25</v>
      </c>
      <c r="DJ60">
        <f>EtalonRes!Z59</f>
        <v>115.4</v>
      </c>
      <c r="DK60" t="e">
        <f>Source!BB39</f>
        <v>#REF!</v>
      </c>
      <c r="DL60" t="s">
        <v>6</v>
      </c>
      <c r="DM60">
        <v>0</v>
      </c>
      <c r="DN60" t="s">
        <v>6</v>
      </c>
      <c r="DO60">
        <v>0</v>
      </c>
      <c r="GQ60">
        <v>-1</v>
      </c>
      <c r="GR60">
        <v>-1</v>
      </c>
    </row>
    <row r="61" spans="1:200" x14ac:dyDescent="0.2">
      <c r="A61">
        <f>ROW(Source!A39)</f>
        <v>39</v>
      </c>
      <c r="B61">
        <v>70471737</v>
      </c>
      <c r="C61">
        <v>70470332</v>
      </c>
      <c r="D61">
        <v>49672654</v>
      </c>
      <c r="E61">
        <v>1</v>
      </c>
      <c r="F61">
        <v>1</v>
      </c>
      <c r="G61">
        <v>1</v>
      </c>
      <c r="H61">
        <v>2</v>
      </c>
      <c r="I61" t="s">
        <v>303</v>
      </c>
      <c r="J61" t="s">
        <v>304</v>
      </c>
      <c r="K61" t="s">
        <v>305</v>
      </c>
      <c r="L61">
        <v>1367</v>
      </c>
      <c r="N61">
        <v>1011</v>
      </c>
      <c r="O61" t="s">
        <v>267</v>
      </c>
      <c r="P61" t="s">
        <v>267</v>
      </c>
      <c r="Q61">
        <v>1</v>
      </c>
      <c r="W61">
        <v>0</v>
      </c>
      <c r="X61">
        <v>321316643</v>
      </c>
      <c r="Y61">
        <f t="shared" si="7"/>
        <v>3.97</v>
      </c>
      <c r="AA61">
        <v>0</v>
      </c>
      <c r="AB61">
        <v>10.130000000000001</v>
      </c>
      <c r="AC61">
        <v>0</v>
      </c>
      <c r="AD61">
        <v>0</v>
      </c>
      <c r="AE61">
        <v>0</v>
      </c>
      <c r="AF61">
        <v>0.9</v>
      </c>
      <c r="AG61">
        <v>0</v>
      </c>
      <c r="AH61">
        <v>0</v>
      </c>
      <c r="AI61">
        <v>1</v>
      </c>
      <c r="AJ61">
        <v>11.25</v>
      </c>
      <c r="AK61">
        <v>36.67</v>
      </c>
      <c r="AL61">
        <v>1</v>
      </c>
      <c r="AM61">
        <v>4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6</v>
      </c>
      <c r="AT61">
        <v>3.97</v>
      </c>
      <c r="AU61" t="s">
        <v>6</v>
      </c>
      <c r="AV61">
        <v>0</v>
      </c>
      <c r="AW61">
        <v>2</v>
      </c>
      <c r="AX61">
        <v>70470348</v>
      </c>
      <c r="AY61">
        <v>1</v>
      </c>
      <c r="AZ61">
        <v>0</v>
      </c>
      <c r="BA61">
        <v>60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f>ROUND(Y61*Source!I39*DO61,7)</f>
        <v>0</v>
      </c>
      <c r="CX61">
        <f>ROUND(Y61*Source!I39,7)</f>
        <v>58.120800000000003</v>
      </c>
      <c r="CY61">
        <f>AB61</f>
        <v>10.130000000000001</v>
      </c>
      <c r="CZ61">
        <f>AF61</f>
        <v>0.9</v>
      </c>
      <c r="DA61">
        <f>AJ61</f>
        <v>11.25</v>
      </c>
      <c r="DB61">
        <f t="shared" si="8"/>
        <v>3.57</v>
      </c>
      <c r="DC61">
        <f t="shared" si="9"/>
        <v>0</v>
      </c>
      <c r="DD61" t="s">
        <v>6</v>
      </c>
      <c r="DE61" t="s">
        <v>6</v>
      </c>
      <c r="DF61">
        <f t="shared" si="19"/>
        <v>0</v>
      </c>
      <c r="DG61">
        <f>ROUND(ROUND(AF61*AJ61,2)*CX61,2)</f>
        <v>588.76</v>
      </c>
      <c r="DH61">
        <f>Source!I39*SmtRes!Y61</f>
        <v>58.120800000000003</v>
      </c>
      <c r="DI61">
        <f>AB61</f>
        <v>10.130000000000001</v>
      </c>
      <c r="DJ61">
        <f>EtalonRes!Z60</f>
        <v>0.9</v>
      </c>
      <c r="DK61" t="e">
        <f>Source!BB39</f>
        <v>#REF!</v>
      </c>
      <c r="DL61" t="s">
        <v>6</v>
      </c>
      <c r="DM61">
        <v>0</v>
      </c>
      <c r="DN61" t="s">
        <v>6</v>
      </c>
      <c r="DO61">
        <v>0</v>
      </c>
      <c r="GQ61">
        <v>-1</v>
      </c>
      <c r="GR61">
        <v>-1</v>
      </c>
    </row>
    <row r="62" spans="1:200" x14ac:dyDescent="0.2">
      <c r="A62">
        <f>ROW(Source!A39)</f>
        <v>39</v>
      </c>
      <c r="B62">
        <v>70471737</v>
      </c>
      <c r="C62">
        <v>70470332</v>
      </c>
      <c r="D62">
        <v>49672710</v>
      </c>
      <c r="E62">
        <v>1</v>
      </c>
      <c r="F62">
        <v>1</v>
      </c>
      <c r="G62">
        <v>1</v>
      </c>
      <c r="H62">
        <v>2</v>
      </c>
      <c r="I62" t="s">
        <v>306</v>
      </c>
      <c r="J62" t="s">
        <v>307</v>
      </c>
      <c r="K62" t="s">
        <v>308</v>
      </c>
      <c r="L62">
        <v>1367</v>
      </c>
      <c r="N62">
        <v>1011</v>
      </c>
      <c r="O62" t="s">
        <v>267</v>
      </c>
      <c r="P62" t="s">
        <v>267</v>
      </c>
      <c r="Q62">
        <v>1</v>
      </c>
      <c r="W62">
        <v>0</v>
      </c>
      <c r="X62">
        <v>-382331097</v>
      </c>
      <c r="Y62">
        <f t="shared" si="7"/>
        <v>3.97</v>
      </c>
      <c r="AA62">
        <v>0</v>
      </c>
      <c r="AB62">
        <v>77.63</v>
      </c>
      <c r="AC62">
        <v>0</v>
      </c>
      <c r="AD62">
        <v>0</v>
      </c>
      <c r="AE62">
        <v>0</v>
      </c>
      <c r="AF62">
        <v>6.9</v>
      </c>
      <c r="AG62">
        <v>0</v>
      </c>
      <c r="AH62">
        <v>0</v>
      </c>
      <c r="AI62">
        <v>1</v>
      </c>
      <c r="AJ62">
        <v>11.25</v>
      </c>
      <c r="AK62">
        <v>36.67</v>
      </c>
      <c r="AL62">
        <v>1</v>
      </c>
      <c r="AM62">
        <v>4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6</v>
      </c>
      <c r="AT62">
        <v>3.97</v>
      </c>
      <c r="AU62" t="s">
        <v>6</v>
      </c>
      <c r="AV62">
        <v>0</v>
      </c>
      <c r="AW62">
        <v>2</v>
      </c>
      <c r="AX62">
        <v>70470349</v>
      </c>
      <c r="AY62">
        <v>1</v>
      </c>
      <c r="AZ62">
        <v>0</v>
      </c>
      <c r="BA62">
        <v>61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f>ROUND(Y62*Source!I39*DO62,7)</f>
        <v>0</v>
      </c>
      <c r="CX62">
        <f>ROUND(Y62*Source!I39,7)</f>
        <v>58.120800000000003</v>
      </c>
      <c r="CY62">
        <f>AB62</f>
        <v>77.63</v>
      </c>
      <c r="CZ62">
        <f>AF62</f>
        <v>6.9</v>
      </c>
      <c r="DA62">
        <f>AJ62</f>
        <v>11.25</v>
      </c>
      <c r="DB62">
        <f t="shared" si="8"/>
        <v>27.39</v>
      </c>
      <c r="DC62">
        <f t="shared" si="9"/>
        <v>0</v>
      </c>
      <c r="DD62" t="s">
        <v>6</v>
      </c>
      <c r="DE62" t="s">
        <v>6</v>
      </c>
      <c r="DF62">
        <f t="shared" si="19"/>
        <v>0</v>
      </c>
      <c r="DG62">
        <f>ROUND(ROUND(AF62*AJ62,2)*CX62,2)</f>
        <v>4511.92</v>
      </c>
      <c r="DH62">
        <f>Source!I39*SmtRes!Y62</f>
        <v>58.120800000000003</v>
      </c>
      <c r="DI62">
        <f>AB62</f>
        <v>77.63</v>
      </c>
      <c r="DJ62">
        <f>EtalonRes!Z61</f>
        <v>6.9</v>
      </c>
      <c r="DK62" t="e">
        <f>Source!BB39</f>
        <v>#REF!</v>
      </c>
      <c r="DL62" t="s">
        <v>6</v>
      </c>
      <c r="DM62">
        <v>0</v>
      </c>
      <c r="DN62" t="s">
        <v>6</v>
      </c>
      <c r="DO62">
        <v>0</v>
      </c>
      <c r="GQ62">
        <v>-1</v>
      </c>
      <c r="GR62">
        <v>-1</v>
      </c>
    </row>
    <row r="63" spans="1:200" x14ac:dyDescent="0.2">
      <c r="A63">
        <f>ROW(Source!A39)</f>
        <v>39</v>
      </c>
      <c r="B63">
        <v>70471737</v>
      </c>
      <c r="C63">
        <v>70470332</v>
      </c>
      <c r="D63">
        <v>49673503</v>
      </c>
      <c r="E63">
        <v>1</v>
      </c>
      <c r="F63">
        <v>1</v>
      </c>
      <c r="G63">
        <v>1</v>
      </c>
      <c r="H63">
        <v>2</v>
      </c>
      <c r="I63" t="s">
        <v>288</v>
      </c>
      <c r="J63" t="s">
        <v>289</v>
      </c>
      <c r="K63" t="s">
        <v>290</v>
      </c>
      <c r="L63">
        <v>1367</v>
      </c>
      <c r="N63">
        <v>1011</v>
      </c>
      <c r="O63" t="s">
        <v>267</v>
      </c>
      <c r="P63" t="s">
        <v>267</v>
      </c>
      <c r="Q63">
        <v>1</v>
      </c>
      <c r="W63">
        <v>0</v>
      </c>
      <c r="X63">
        <v>509054691</v>
      </c>
      <c r="Y63">
        <f t="shared" si="7"/>
        <v>1.94</v>
      </c>
      <c r="AA63">
        <v>0</v>
      </c>
      <c r="AB63">
        <v>739.24</v>
      </c>
      <c r="AC63">
        <v>425.37</v>
      </c>
      <c r="AD63">
        <v>0</v>
      </c>
      <c r="AE63">
        <v>0</v>
      </c>
      <c r="AF63">
        <v>65.709999999999994</v>
      </c>
      <c r="AG63">
        <v>11.6</v>
      </c>
      <c r="AH63">
        <v>0</v>
      </c>
      <c r="AI63">
        <v>1</v>
      </c>
      <c r="AJ63">
        <v>11.25</v>
      </c>
      <c r="AK63">
        <v>36.67</v>
      </c>
      <c r="AL63">
        <v>1</v>
      </c>
      <c r="AM63">
        <v>4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6</v>
      </c>
      <c r="AT63">
        <v>1.94</v>
      </c>
      <c r="AU63" t="s">
        <v>6</v>
      </c>
      <c r="AV63">
        <v>0</v>
      </c>
      <c r="AW63">
        <v>2</v>
      </c>
      <c r="AX63">
        <v>70470350</v>
      </c>
      <c r="AY63">
        <v>1</v>
      </c>
      <c r="AZ63">
        <v>0</v>
      </c>
      <c r="BA63">
        <v>62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f>ROUND(Y63*Source!I39*DO63,7)</f>
        <v>0</v>
      </c>
      <c r="CX63">
        <f>ROUND(Y63*Source!I39,7)</f>
        <v>28.401599999999998</v>
      </c>
      <c r="CY63">
        <f>AB63</f>
        <v>739.24</v>
      </c>
      <c r="CZ63">
        <f>AF63</f>
        <v>65.709999999999994</v>
      </c>
      <c r="DA63">
        <f>AJ63</f>
        <v>11.25</v>
      </c>
      <c r="DB63">
        <f t="shared" si="8"/>
        <v>127.48</v>
      </c>
      <c r="DC63">
        <f t="shared" si="9"/>
        <v>22.5</v>
      </c>
      <c r="DD63" t="s">
        <v>6</v>
      </c>
      <c r="DE63" t="s">
        <v>6</v>
      </c>
      <c r="DF63">
        <f t="shared" si="19"/>
        <v>0</v>
      </c>
      <c r="DG63">
        <f>ROUND(ROUND(AF63*AJ63,2)*CX63,2)</f>
        <v>20995.599999999999</v>
      </c>
      <c r="DH63">
        <f>Source!I39*SmtRes!Y63</f>
        <v>28.401600000000002</v>
      </c>
      <c r="DI63">
        <f>AB63</f>
        <v>739.24</v>
      </c>
      <c r="DJ63">
        <f>EtalonRes!Z62</f>
        <v>65.709999999999994</v>
      </c>
      <c r="DK63" t="e">
        <f>Source!BB39</f>
        <v>#REF!</v>
      </c>
      <c r="DL63" t="s">
        <v>6</v>
      </c>
      <c r="DM63">
        <v>0</v>
      </c>
      <c r="DN63" t="s">
        <v>6</v>
      </c>
      <c r="DO63">
        <v>0</v>
      </c>
      <c r="GQ63">
        <v>-1</v>
      </c>
      <c r="GR63">
        <v>-1</v>
      </c>
    </row>
    <row r="64" spans="1:200" x14ac:dyDescent="0.2">
      <c r="A64">
        <f>ROW(Source!A39)</f>
        <v>39</v>
      </c>
      <c r="B64">
        <v>70471737</v>
      </c>
      <c r="C64">
        <v>70470332</v>
      </c>
      <c r="D64">
        <v>49523499</v>
      </c>
      <c r="E64">
        <v>1</v>
      </c>
      <c r="F64">
        <v>1</v>
      </c>
      <c r="G64">
        <v>1</v>
      </c>
      <c r="H64">
        <v>3</v>
      </c>
      <c r="I64" t="s">
        <v>309</v>
      </c>
      <c r="J64" t="s">
        <v>310</v>
      </c>
      <c r="K64" t="s">
        <v>311</v>
      </c>
      <c r="L64">
        <v>1302</v>
      </c>
      <c r="N64">
        <v>1003</v>
      </c>
      <c r="O64" t="s">
        <v>312</v>
      </c>
      <c r="P64" t="s">
        <v>312</v>
      </c>
      <c r="Q64">
        <v>10</v>
      </c>
      <c r="W64">
        <v>0</v>
      </c>
      <c r="X64">
        <v>-893440473</v>
      </c>
      <c r="Y64" s="60">
        <f>'5.Ведомость_списания'!F61</f>
        <v>9.6000000000000002E-2</v>
      </c>
      <c r="AA64">
        <v>35.119999999999997</v>
      </c>
      <c r="AB64">
        <v>0</v>
      </c>
      <c r="AC64">
        <v>0</v>
      </c>
      <c r="AD64">
        <v>0</v>
      </c>
      <c r="AE64">
        <v>6.9</v>
      </c>
      <c r="AF64">
        <v>0</v>
      </c>
      <c r="AG64">
        <v>0</v>
      </c>
      <c r="AH64">
        <v>0</v>
      </c>
      <c r="AI64">
        <v>5.09</v>
      </c>
      <c r="AJ64">
        <v>1</v>
      </c>
      <c r="AK64">
        <v>1</v>
      </c>
      <c r="AL64">
        <v>1</v>
      </c>
      <c r="AM64">
        <v>4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6</v>
      </c>
      <c r="AT64">
        <v>9.6000000000000002E-2</v>
      </c>
      <c r="AU64" t="s">
        <v>6</v>
      </c>
      <c r="AV64">
        <v>0</v>
      </c>
      <c r="AW64">
        <v>2</v>
      </c>
      <c r="AX64">
        <v>70470351</v>
      </c>
      <c r="AY64">
        <v>1</v>
      </c>
      <c r="AZ64">
        <v>0</v>
      </c>
      <c r="BA64">
        <v>63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ROUND(Y64*Source!I39,7)</f>
        <v>1.40544</v>
      </c>
      <c r="CY64">
        <f t="shared" ref="CY64:CY69" si="20">AA64</f>
        <v>35.119999999999997</v>
      </c>
      <c r="CZ64">
        <f t="shared" ref="CZ64:CZ69" si="21">AE64</f>
        <v>6.9</v>
      </c>
      <c r="DA64">
        <f t="shared" ref="DA64:DA69" si="22">AI64</f>
        <v>5.09</v>
      </c>
      <c r="DB64">
        <f t="shared" si="8"/>
        <v>0.66</v>
      </c>
      <c r="DC64">
        <f t="shared" si="9"/>
        <v>0</v>
      </c>
      <c r="DD64" t="s">
        <v>6</v>
      </c>
      <c r="DE64" t="s">
        <v>6</v>
      </c>
      <c r="DF64">
        <f t="shared" ref="DF64:DF69" si="23">ROUND(ROUND(AE64*AI64,2)*CX64,2)</f>
        <v>49.36</v>
      </c>
      <c r="DG64">
        <f t="shared" ref="DG64:DG71" si="24">ROUND(ROUND(AF64,2)*CX64,2)</f>
        <v>0</v>
      </c>
      <c r="DH64">
        <f>Source!I39*SmtRes!Y64</f>
        <v>1.40544</v>
      </c>
      <c r="DI64">
        <f t="shared" ref="DI64:DI69" si="25">AA64</f>
        <v>35.119999999999997</v>
      </c>
      <c r="DJ64">
        <f>EtalonRes!Y63</f>
        <v>6.9</v>
      </c>
      <c r="DK64" t="e">
        <f>Source!BC39</f>
        <v>#REF!</v>
      </c>
      <c r="DL64" t="s">
        <v>6</v>
      </c>
      <c r="DM64">
        <v>0</v>
      </c>
      <c r="DN64" t="s">
        <v>6</v>
      </c>
      <c r="DO64">
        <v>0</v>
      </c>
      <c r="GQ64">
        <v>-1</v>
      </c>
      <c r="GR64">
        <v>-1</v>
      </c>
    </row>
    <row r="65" spans="1:200" x14ac:dyDescent="0.2">
      <c r="A65">
        <f>ROW(Source!A39)</f>
        <v>39</v>
      </c>
      <c r="B65">
        <v>70471737</v>
      </c>
      <c r="C65">
        <v>70470332</v>
      </c>
      <c r="D65">
        <v>49542980</v>
      </c>
      <c r="E65">
        <v>1</v>
      </c>
      <c r="F65">
        <v>1</v>
      </c>
      <c r="G65">
        <v>1</v>
      </c>
      <c r="H65">
        <v>3</v>
      </c>
      <c r="I65" t="s">
        <v>319</v>
      </c>
      <c r="J65" t="s">
        <v>320</v>
      </c>
      <c r="K65" t="s">
        <v>321</v>
      </c>
      <c r="L65">
        <v>1348</v>
      </c>
      <c r="N65">
        <v>1009</v>
      </c>
      <c r="O65" t="s">
        <v>299</v>
      </c>
      <c r="P65" t="s">
        <v>299</v>
      </c>
      <c r="Q65">
        <v>1000</v>
      </c>
      <c r="W65">
        <v>0</v>
      </c>
      <c r="X65">
        <v>-958641064</v>
      </c>
      <c r="Y65" s="60">
        <f>'5.Ведомость_списания'!F62</f>
        <v>1E-3</v>
      </c>
      <c r="AA65">
        <v>25450</v>
      </c>
      <c r="AB65">
        <v>0</v>
      </c>
      <c r="AC65">
        <v>0</v>
      </c>
      <c r="AD65">
        <v>0</v>
      </c>
      <c r="AE65">
        <v>5000</v>
      </c>
      <c r="AF65">
        <v>0</v>
      </c>
      <c r="AG65">
        <v>0</v>
      </c>
      <c r="AH65">
        <v>0</v>
      </c>
      <c r="AI65">
        <v>5.09</v>
      </c>
      <c r="AJ65">
        <v>1</v>
      </c>
      <c r="AK65">
        <v>1</v>
      </c>
      <c r="AL65">
        <v>1</v>
      </c>
      <c r="AM65">
        <v>4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6</v>
      </c>
      <c r="AT65">
        <v>1E-3</v>
      </c>
      <c r="AU65" t="s">
        <v>6</v>
      </c>
      <c r="AV65">
        <v>0</v>
      </c>
      <c r="AW65">
        <v>2</v>
      </c>
      <c r="AX65">
        <v>70470352</v>
      </c>
      <c r="AY65">
        <v>1</v>
      </c>
      <c r="AZ65">
        <v>0</v>
      </c>
      <c r="BA65">
        <v>64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ROUND(Y65*Source!I39,7)</f>
        <v>1.464E-2</v>
      </c>
      <c r="CY65">
        <f t="shared" si="20"/>
        <v>25450</v>
      </c>
      <c r="CZ65">
        <f t="shared" si="21"/>
        <v>5000</v>
      </c>
      <c r="DA65">
        <f t="shared" si="22"/>
        <v>5.09</v>
      </c>
      <c r="DB65">
        <f t="shared" si="8"/>
        <v>5</v>
      </c>
      <c r="DC65">
        <f t="shared" si="9"/>
        <v>0</v>
      </c>
      <c r="DD65" t="s">
        <v>6</v>
      </c>
      <c r="DE65" t="s">
        <v>6</v>
      </c>
      <c r="DF65">
        <f t="shared" si="23"/>
        <v>372.59</v>
      </c>
      <c r="DG65">
        <f t="shared" si="24"/>
        <v>0</v>
      </c>
      <c r="DH65">
        <f>Source!I39*SmtRes!Y65</f>
        <v>1.464E-2</v>
      </c>
      <c r="DI65">
        <f t="shared" si="25"/>
        <v>25450</v>
      </c>
      <c r="DJ65">
        <f>EtalonRes!Y64</f>
        <v>5000</v>
      </c>
      <c r="DK65" t="e">
        <f>Source!BC39</f>
        <v>#REF!</v>
      </c>
      <c r="DL65" t="s">
        <v>6</v>
      </c>
      <c r="DM65">
        <v>0</v>
      </c>
      <c r="DN65" t="s">
        <v>6</v>
      </c>
      <c r="DO65">
        <v>0</v>
      </c>
      <c r="GQ65">
        <v>-1</v>
      </c>
      <c r="GR65">
        <v>-1</v>
      </c>
    </row>
    <row r="66" spans="1:200" x14ac:dyDescent="0.2">
      <c r="A66">
        <f>ROW(Source!A39)</f>
        <v>39</v>
      </c>
      <c r="B66">
        <v>70471737</v>
      </c>
      <c r="C66">
        <v>70470332</v>
      </c>
      <c r="D66">
        <v>49543056</v>
      </c>
      <c r="E66">
        <v>1</v>
      </c>
      <c r="F66">
        <v>1</v>
      </c>
      <c r="G66">
        <v>1</v>
      </c>
      <c r="H66">
        <v>3</v>
      </c>
      <c r="I66" t="s">
        <v>322</v>
      </c>
      <c r="J66" t="s">
        <v>323</v>
      </c>
      <c r="K66" t="s">
        <v>324</v>
      </c>
      <c r="L66">
        <v>1348</v>
      </c>
      <c r="N66">
        <v>1009</v>
      </c>
      <c r="O66" t="s">
        <v>299</v>
      </c>
      <c r="P66" t="s">
        <v>299</v>
      </c>
      <c r="Q66">
        <v>1000</v>
      </c>
      <c r="W66">
        <v>0</v>
      </c>
      <c r="X66">
        <v>-1120410687</v>
      </c>
      <c r="Y66" s="60">
        <f>'5.Ведомость_списания'!F63</f>
        <v>0.01</v>
      </c>
      <c r="AA66">
        <v>29333.67</v>
      </c>
      <c r="AB66">
        <v>0</v>
      </c>
      <c r="AC66">
        <v>0</v>
      </c>
      <c r="AD66">
        <v>0</v>
      </c>
      <c r="AE66">
        <v>5763</v>
      </c>
      <c r="AF66">
        <v>0</v>
      </c>
      <c r="AG66">
        <v>0</v>
      </c>
      <c r="AH66">
        <v>0</v>
      </c>
      <c r="AI66">
        <v>5.09</v>
      </c>
      <c r="AJ66">
        <v>1</v>
      </c>
      <c r="AK66">
        <v>1</v>
      </c>
      <c r="AL66">
        <v>1</v>
      </c>
      <c r="AM66">
        <v>4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6</v>
      </c>
      <c r="AT66">
        <v>0.01</v>
      </c>
      <c r="AU66" t="s">
        <v>6</v>
      </c>
      <c r="AV66">
        <v>0</v>
      </c>
      <c r="AW66">
        <v>2</v>
      </c>
      <c r="AX66">
        <v>70470353</v>
      </c>
      <c r="AY66">
        <v>1</v>
      </c>
      <c r="AZ66">
        <v>0</v>
      </c>
      <c r="BA66">
        <v>65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ROUND(Y66*Source!I39,7)</f>
        <v>0.1464</v>
      </c>
      <c r="CY66">
        <f t="shared" si="20"/>
        <v>29333.67</v>
      </c>
      <c r="CZ66">
        <f t="shared" si="21"/>
        <v>5763</v>
      </c>
      <c r="DA66">
        <f t="shared" si="22"/>
        <v>5.09</v>
      </c>
      <c r="DB66">
        <f t="shared" si="8"/>
        <v>57.63</v>
      </c>
      <c r="DC66">
        <f t="shared" si="9"/>
        <v>0</v>
      </c>
      <c r="DD66" t="s">
        <v>6</v>
      </c>
      <c r="DE66" t="s">
        <v>6</v>
      </c>
      <c r="DF66">
        <f t="shared" si="23"/>
        <v>4294.45</v>
      </c>
      <c r="DG66">
        <f t="shared" si="24"/>
        <v>0</v>
      </c>
      <c r="DH66">
        <f>Source!I39*SmtRes!Y66</f>
        <v>0.1464</v>
      </c>
      <c r="DI66">
        <f t="shared" si="25"/>
        <v>29333.67</v>
      </c>
      <c r="DJ66">
        <f>EtalonRes!Y65</f>
        <v>5763</v>
      </c>
      <c r="DK66" t="e">
        <f>Source!BC39</f>
        <v>#REF!</v>
      </c>
      <c r="DL66" t="s">
        <v>6</v>
      </c>
      <c r="DM66">
        <v>0</v>
      </c>
      <c r="DN66" t="s">
        <v>6</v>
      </c>
      <c r="DO66">
        <v>0</v>
      </c>
      <c r="GQ66">
        <v>-1</v>
      </c>
      <c r="GR66">
        <v>-1</v>
      </c>
    </row>
    <row r="67" spans="1:200" x14ac:dyDescent="0.2">
      <c r="A67">
        <f>ROW(Source!A39)</f>
        <v>39</v>
      </c>
      <c r="B67">
        <v>70471737</v>
      </c>
      <c r="C67">
        <v>70470332</v>
      </c>
      <c r="D67">
        <v>49554585</v>
      </c>
      <c r="E67">
        <v>1</v>
      </c>
      <c r="F67">
        <v>1</v>
      </c>
      <c r="G67">
        <v>1</v>
      </c>
      <c r="H67">
        <v>3</v>
      </c>
      <c r="I67" t="s">
        <v>325</v>
      </c>
      <c r="J67" t="s">
        <v>326</v>
      </c>
      <c r="K67" t="s">
        <v>327</v>
      </c>
      <c r="L67">
        <v>1346</v>
      </c>
      <c r="N67">
        <v>1009</v>
      </c>
      <c r="O67" t="s">
        <v>328</v>
      </c>
      <c r="P67" t="s">
        <v>328</v>
      </c>
      <c r="Q67">
        <v>1</v>
      </c>
      <c r="W67">
        <v>0</v>
      </c>
      <c r="X67">
        <v>-211331552</v>
      </c>
      <c r="Y67" s="60">
        <f>'5.Ведомость_списания'!F64</f>
        <v>0.25</v>
      </c>
      <c r="AA67">
        <v>145.57</v>
      </c>
      <c r="AB67">
        <v>0</v>
      </c>
      <c r="AC67">
        <v>0</v>
      </c>
      <c r="AD67">
        <v>0</v>
      </c>
      <c r="AE67">
        <v>28.6</v>
      </c>
      <c r="AF67">
        <v>0</v>
      </c>
      <c r="AG67">
        <v>0</v>
      </c>
      <c r="AH67">
        <v>0</v>
      </c>
      <c r="AI67">
        <v>5.09</v>
      </c>
      <c r="AJ67">
        <v>1</v>
      </c>
      <c r="AK67">
        <v>1</v>
      </c>
      <c r="AL67">
        <v>1</v>
      </c>
      <c r="AM67">
        <v>4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6</v>
      </c>
      <c r="AT67">
        <v>0.25</v>
      </c>
      <c r="AU67" t="s">
        <v>6</v>
      </c>
      <c r="AV67">
        <v>0</v>
      </c>
      <c r="AW67">
        <v>2</v>
      </c>
      <c r="AX67">
        <v>70470354</v>
      </c>
      <c r="AY67">
        <v>1</v>
      </c>
      <c r="AZ67">
        <v>0</v>
      </c>
      <c r="BA67">
        <v>66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>
        <f>ROUND(Y67*Source!I39,7)</f>
        <v>3.66</v>
      </c>
      <c r="CY67">
        <f t="shared" si="20"/>
        <v>145.57</v>
      </c>
      <c r="CZ67">
        <f t="shared" si="21"/>
        <v>28.6</v>
      </c>
      <c r="DA67">
        <f t="shared" si="22"/>
        <v>5.09</v>
      </c>
      <c r="DB67">
        <f t="shared" si="8"/>
        <v>7.15</v>
      </c>
      <c r="DC67">
        <f t="shared" si="9"/>
        <v>0</v>
      </c>
      <c r="DD67" t="s">
        <v>6</v>
      </c>
      <c r="DE67" t="s">
        <v>6</v>
      </c>
      <c r="DF67">
        <f t="shared" si="23"/>
        <v>532.79</v>
      </c>
      <c r="DG67">
        <f t="shared" si="24"/>
        <v>0</v>
      </c>
      <c r="DH67">
        <f>Source!I39*SmtRes!Y67</f>
        <v>3.66</v>
      </c>
      <c r="DI67">
        <f t="shared" si="25"/>
        <v>145.57</v>
      </c>
      <c r="DJ67">
        <f>EtalonRes!Y66</f>
        <v>28.6</v>
      </c>
      <c r="DK67" t="e">
        <f>Source!BC39</f>
        <v>#REF!</v>
      </c>
      <c r="DL67" t="s">
        <v>6</v>
      </c>
      <c r="DM67">
        <v>0</v>
      </c>
      <c r="DN67" t="s">
        <v>6</v>
      </c>
      <c r="DO67">
        <v>0</v>
      </c>
      <c r="GQ67">
        <v>-1</v>
      </c>
      <c r="GR67">
        <v>-1</v>
      </c>
    </row>
    <row r="68" spans="1:200" x14ac:dyDescent="0.2">
      <c r="A68">
        <f>ROW(Source!A39)</f>
        <v>39</v>
      </c>
      <c r="B68">
        <v>70471737</v>
      </c>
      <c r="C68">
        <v>70470332</v>
      </c>
      <c r="D68">
        <v>49554619</v>
      </c>
      <c r="E68">
        <v>1</v>
      </c>
      <c r="F68">
        <v>1</v>
      </c>
      <c r="G68">
        <v>1</v>
      </c>
      <c r="H68">
        <v>3</v>
      </c>
      <c r="I68" t="s">
        <v>316</v>
      </c>
      <c r="J68" t="s">
        <v>317</v>
      </c>
      <c r="K68" t="s">
        <v>318</v>
      </c>
      <c r="L68">
        <v>1348</v>
      </c>
      <c r="N68">
        <v>1009</v>
      </c>
      <c r="O68" t="s">
        <v>299</v>
      </c>
      <c r="P68" t="s">
        <v>299</v>
      </c>
      <c r="Q68">
        <v>1000</v>
      </c>
      <c r="W68">
        <v>0</v>
      </c>
      <c r="X68">
        <v>2092961430</v>
      </c>
      <c r="Y68" s="60">
        <f>'5.Ведомость_списания'!F65</f>
        <v>6.0000000000000002E-5</v>
      </c>
      <c r="AA68">
        <v>39838.92</v>
      </c>
      <c r="AB68">
        <v>0</v>
      </c>
      <c r="AC68">
        <v>0</v>
      </c>
      <c r="AD68">
        <v>0</v>
      </c>
      <c r="AE68">
        <v>7826.9</v>
      </c>
      <c r="AF68">
        <v>0</v>
      </c>
      <c r="AG68">
        <v>0</v>
      </c>
      <c r="AH68">
        <v>0</v>
      </c>
      <c r="AI68">
        <v>5.09</v>
      </c>
      <c r="AJ68">
        <v>1</v>
      </c>
      <c r="AK68">
        <v>1</v>
      </c>
      <c r="AL68">
        <v>1</v>
      </c>
      <c r="AM68">
        <v>4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6</v>
      </c>
      <c r="AT68">
        <v>6.0000000000000002E-5</v>
      </c>
      <c r="AU68" t="s">
        <v>6</v>
      </c>
      <c r="AV68">
        <v>0</v>
      </c>
      <c r="AW68">
        <v>2</v>
      </c>
      <c r="AX68">
        <v>70470355</v>
      </c>
      <c r="AY68">
        <v>1</v>
      </c>
      <c r="AZ68">
        <v>0</v>
      </c>
      <c r="BA68">
        <v>67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ROUND(Y68*Source!I39,7)</f>
        <v>8.7839999999999999E-4</v>
      </c>
      <c r="CY68">
        <f t="shared" si="20"/>
        <v>39838.92</v>
      </c>
      <c r="CZ68">
        <f t="shared" si="21"/>
        <v>7826.9</v>
      </c>
      <c r="DA68">
        <f t="shared" si="22"/>
        <v>5.09</v>
      </c>
      <c r="DB68">
        <f t="shared" ref="DB68:DB79" si="26">ROUND(ROUND(AT68*CZ68,2),2)</f>
        <v>0.47</v>
      </c>
      <c r="DC68">
        <f t="shared" ref="DC68:DC79" si="27">ROUND(ROUND(AT68*AG68,2),2)</f>
        <v>0</v>
      </c>
      <c r="DD68" t="s">
        <v>6</v>
      </c>
      <c r="DE68" t="s">
        <v>6</v>
      </c>
      <c r="DF68">
        <f t="shared" si="23"/>
        <v>34.99</v>
      </c>
      <c r="DG68">
        <f t="shared" si="24"/>
        <v>0</v>
      </c>
      <c r="DH68">
        <f>Source!I39*SmtRes!Y68</f>
        <v>8.784000000000001E-4</v>
      </c>
      <c r="DI68">
        <f t="shared" si="25"/>
        <v>39838.92</v>
      </c>
      <c r="DJ68">
        <f>EtalonRes!Y67</f>
        <v>7826.9</v>
      </c>
      <c r="DK68" t="e">
        <f>Source!BC39</f>
        <v>#REF!</v>
      </c>
      <c r="DL68" t="s">
        <v>6</v>
      </c>
      <c r="DM68">
        <v>0</v>
      </c>
      <c r="DN68" t="s">
        <v>6</v>
      </c>
      <c r="DO68">
        <v>0</v>
      </c>
      <c r="GQ68">
        <v>-1</v>
      </c>
      <c r="GR68">
        <v>-1</v>
      </c>
    </row>
    <row r="69" spans="1:200" x14ac:dyDescent="0.2">
      <c r="A69">
        <f>ROW(Source!A39)</f>
        <v>39</v>
      </c>
      <c r="B69">
        <v>70471737</v>
      </c>
      <c r="C69">
        <v>70470332</v>
      </c>
      <c r="D69">
        <v>49515638</v>
      </c>
      <c r="E69">
        <v>70</v>
      </c>
      <c r="F69">
        <v>1</v>
      </c>
      <c r="G69">
        <v>1</v>
      </c>
      <c r="H69">
        <v>3</v>
      </c>
      <c r="I69" t="s">
        <v>291</v>
      </c>
      <c r="J69" t="s">
        <v>6</v>
      </c>
      <c r="K69" t="s">
        <v>292</v>
      </c>
      <c r="L69">
        <v>1374</v>
      </c>
      <c r="N69">
        <v>1013</v>
      </c>
      <c r="O69" t="s">
        <v>293</v>
      </c>
      <c r="P69" t="s">
        <v>293</v>
      </c>
      <c r="Q69">
        <v>1</v>
      </c>
      <c r="W69">
        <v>0</v>
      </c>
      <c r="X69">
        <v>-1731369543</v>
      </c>
      <c r="Y69" s="60">
        <f>'5.Ведомость_списания'!F66</f>
        <v>3.31</v>
      </c>
      <c r="AA69">
        <v>5.09</v>
      </c>
      <c r="AB69">
        <v>0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0</v>
      </c>
      <c r="AI69">
        <v>5.09</v>
      </c>
      <c r="AJ69">
        <v>1</v>
      </c>
      <c r="AK69">
        <v>1</v>
      </c>
      <c r="AL69">
        <v>1</v>
      </c>
      <c r="AM69">
        <v>4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6</v>
      </c>
      <c r="AT69">
        <v>3.31</v>
      </c>
      <c r="AU69" t="s">
        <v>6</v>
      </c>
      <c r="AV69">
        <v>0</v>
      </c>
      <c r="AW69">
        <v>2</v>
      </c>
      <c r="AX69">
        <v>70470356</v>
      </c>
      <c r="AY69">
        <v>1</v>
      </c>
      <c r="AZ69">
        <v>0</v>
      </c>
      <c r="BA69">
        <v>68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ROUND(Y69*Source!I39,7)</f>
        <v>48.458399999999997</v>
      </c>
      <c r="CY69">
        <f t="shared" si="20"/>
        <v>5.09</v>
      </c>
      <c r="CZ69">
        <f t="shared" si="21"/>
        <v>1</v>
      </c>
      <c r="DA69">
        <f t="shared" si="22"/>
        <v>5.09</v>
      </c>
      <c r="DB69">
        <f t="shared" si="26"/>
        <v>3.31</v>
      </c>
      <c r="DC69">
        <f t="shared" si="27"/>
        <v>0</v>
      </c>
      <c r="DD69" t="s">
        <v>6</v>
      </c>
      <c r="DE69" t="s">
        <v>6</v>
      </c>
      <c r="DF69">
        <f t="shared" si="23"/>
        <v>246.65</v>
      </c>
      <c r="DG69">
        <f t="shared" si="24"/>
        <v>0</v>
      </c>
      <c r="DH69">
        <f>Source!I39*SmtRes!Y69</f>
        <v>48.458400000000005</v>
      </c>
      <c r="DI69">
        <f t="shared" si="25"/>
        <v>5.09</v>
      </c>
      <c r="DJ69">
        <f>EtalonRes!Y68</f>
        <v>1</v>
      </c>
      <c r="DK69" t="e">
        <f>Source!BC39</f>
        <v>#REF!</v>
      </c>
      <c r="DL69" t="s">
        <v>6</v>
      </c>
      <c r="DM69">
        <v>0</v>
      </c>
      <c r="DN69" t="s">
        <v>6</v>
      </c>
      <c r="DO69">
        <v>0</v>
      </c>
      <c r="GQ69">
        <v>-1</v>
      </c>
      <c r="GR69">
        <v>-1</v>
      </c>
    </row>
    <row r="70" spans="1:200" x14ac:dyDescent="0.2">
      <c r="A70">
        <f>ROW(Source!A42)</f>
        <v>42</v>
      </c>
      <c r="B70">
        <v>70471737</v>
      </c>
      <c r="C70">
        <v>70470357</v>
      </c>
      <c r="D70">
        <v>49510749</v>
      </c>
      <c r="E70">
        <v>70</v>
      </c>
      <c r="F70">
        <v>1</v>
      </c>
      <c r="G70">
        <v>1</v>
      </c>
      <c r="H70">
        <v>1</v>
      </c>
      <c r="I70" t="s">
        <v>283</v>
      </c>
      <c r="J70" t="s">
        <v>6</v>
      </c>
      <c r="K70" t="s">
        <v>284</v>
      </c>
      <c r="L70">
        <v>1191</v>
      </c>
      <c r="N70">
        <v>1013</v>
      </c>
      <c r="O70" t="s">
        <v>263</v>
      </c>
      <c r="P70" t="s">
        <v>263</v>
      </c>
      <c r="Q70">
        <v>1</v>
      </c>
      <c r="W70">
        <v>0</v>
      </c>
      <c r="X70">
        <v>-2012709214</v>
      </c>
      <c r="Y70">
        <f t="shared" ref="Y70:Y79" si="28">AT70</f>
        <v>10.32</v>
      </c>
      <c r="AA70">
        <v>0</v>
      </c>
      <c r="AB70">
        <v>0</v>
      </c>
      <c r="AC70">
        <v>0</v>
      </c>
      <c r="AD70">
        <v>344.7</v>
      </c>
      <c r="AE70">
        <v>0</v>
      </c>
      <c r="AF70">
        <v>0</v>
      </c>
      <c r="AG70">
        <v>0</v>
      </c>
      <c r="AH70">
        <v>9.4</v>
      </c>
      <c r="AI70">
        <v>1</v>
      </c>
      <c r="AJ70">
        <v>1</v>
      </c>
      <c r="AK70">
        <v>1</v>
      </c>
      <c r="AL70">
        <v>36.67</v>
      </c>
      <c r="AM70">
        <v>4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6</v>
      </c>
      <c r="AT70">
        <v>10.32</v>
      </c>
      <c r="AU70" t="s">
        <v>6</v>
      </c>
      <c r="AV70">
        <v>1</v>
      </c>
      <c r="AW70">
        <v>2</v>
      </c>
      <c r="AX70">
        <v>70471848</v>
      </c>
      <c r="AY70">
        <v>1</v>
      </c>
      <c r="AZ70">
        <v>0</v>
      </c>
      <c r="BA70">
        <v>69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U70">
        <f>ROUND(AT70*Source!I42*AH70*AL70,2)</f>
        <v>85374.8</v>
      </c>
      <c r="CV70">
        <f>ROUND(Y70*Source!I42,7)</f>
        <v>247.68</v>
      </c>
      <c r="CW70">
        <v>0</v>
      </c>
      <c r="CX70">
        <f>ROUND(Y70*Source!I42,7)</f>
        <v>247.68</v>
      </c>
      <c r="CY70">
        <f>AD70</f>
        <v>344.7</v>
      </c>
      <c r="CZ70">
        <f>AH70</f>
        <v>9.4</v>
      </c>
      <c r="DA70">
        <f>AL70</f>
        <v>36.67</v>
      </c>
      <c r="DB70">
        <f t="shared" si="26"/>
        <v>97.01</v>
      </c>
      <c r="DC70">
        <f t="shared" si="27"/>
        <v>0</v>
      </c>
      <c r="DD70" t="s">
        <v>6</v>
      </c>
      <c r="DE70" t="s">
        <v>6</v>
      </c>
      <c r="DF70">
        <f>ROUND(ROUND(AE70,2)*CX70,2)</f>
        <v>0</v>
      </c>
      <c r="DG70">
        <f t="shared" si="24"/>
        <v>0</v>
      </c>
      <c r="DH70">
        <f>Source!I42*SmtRes!Y70</f>
        <v>247.68</v>
      </c>
      <c r="DI70">
        <f>AD70</f>
        <v>344.7</v>
      </c>
      <c r="DJ70">
        <f>EtalonRes!AB69</f>
        <v>9.4</v>
      </c>
      <c r="DK70" t="e">
        <f>Source!BA42</f>
        <v>#REF!</v>
      </c>
      <c r="DL70" t="s">
        <v>6</v>
      </c>
      <c r="DM70">
        <v>0</v>
      </c>
      <c r="DN70" t="s">
        <v>6</v>
      </c>
      <c r="DO70">
        <v>0</v>
      </c>
      <c r="GQ70">
        <v>-1</v>
      </c>
      <c r="GR70">
        <v>-1</v>
      </c>
    </row>
    <row r="71" spans="1:200" x14ac:dyDescent="0.2">
      <c r="A71">
        <f>ROW(Source!A42)</f>
        <v>42</v>
      </c>
      <c r="B71">
        <v>70471737</v>
      </c>
      <c r="C71">
        <v>70470357</v>
      </c>
      <c r="D71">
        <v>49510905</v>
      </c>
      <c r="E71">
        <v>70</v>
      </c>
      <c r="F71">
        <v>1</v>
      </c>
      <c r="G71">
        <v>1</v>
      </c>
      <c r="H71">
        <v>1</v>
      </c>
      <c r="I71" t="s">
        <v>261</v>
      </c>
      <c r="J71" t="s">
        <v>6</v>
      </c>
      <c r="K71" t="s">
        <v>262</v>
      </c>
      <c r="L71">
        <v>1191</v>
      </c>
      <c r="N71">
        <v>1013</v>
      </c>
      <c r="O71" t="s">
        <v>263</v>
      </c>
      <c r="P71" t="s">
        <v>263</v>
      </c>
      <c r="Q71">
        <v>1</v>
      </c>
      <c r="W71">
        <v>0</v>
      </c>
      <c r="X71">
        <v>-1417349443</v>
      </c>
      <c r="Y71">
        <f t="shared" si="28"/>
        <v>0.02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36.67</v>
      </c>
      <c r="AL71">
        <v>1</v>
      </c>
      <c r="AM71">
        <v>4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6</v>
      </c>
      <c r="AT71">
        <v>0.02</v>
      </c>
      <c r="AU71" t="s">
        <v>6</v>
      </c>
      <c r="AV71">
        <v>2</v>
      </c>
      <c r="AW71">
        <v>2</v>
      </c>
      <c r="AX71">
        <v>70471849</v>
      </c>
      <c r="AY71">
        <v>1</v>
      </c>
      <c r="AZ71">
        <v>0</v>
      </c>
      <c r="BA71">
        <v>70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ROUND(Y71*Source!I42,7)</f>
        <v>0.48</v>
      </c>
      <c r="CY71">
        <f>AD71</f>
        <v>0</v>
      </c>
      <c r="CZ71">
        <f>AH71</f>
        <v>0</v>
      </c>
      <c r="DA71">
        <f>AL71</f>
        <v>1</v>
      </c>
      <c r="DB71">
        <f t="shared" si="26"/>
        <v>0</v>
      </c>
      <c r="DC71">
        <f t="shared" si="27"/>
        <v>0</v>
      </c>
      <c r="DD71" t="s">
        <v>6</v>
      </c>
      <c r="DE71" t="s">
        <v>6</v>
      </c>
      <c r="DF71">
        <f>ROUND(ROUND(AE71,2)*CX71,2)</f>
        <v>0</v>
      </c>
      <c r="DG71">
        <f t="shared" si="24"/>
        <v>0</v>
      </c>
      <c r="DH71">
        <f>Source!I42*SmtRes!Y71</f>
        <v>0.48</v>
      </c>
      <c r="DI71">
        <f>AD71</f>
        <v>0</v>
      </c>
      <c r="DJ71">
        <f>EtalonRes!AB70</f>
        <v>0</v>
      </c>
      <c r="DK71" t="e">
        <f>Source!BA42</f>
        <v>#REF!</v>
      </c>
      <c r="DL71" t="s">
        <v>6</v>
      </c>
      <c r="DM71">
        <v>0</v>
      </c>
      <c r="DN71" t="s">
        <v>6</v>
      </c>
      <c r="DO71">
        <v>0</v>
      </c>
      <c r="GQ71">
        <v>-1</v>
      </c>
      <c r="GR71">
        <v>-1</v>
      </c>
    </row>
    <row r="72" spans="1:200" x14ac:dyDescent="0.2">
      <c r="A72">
        <f>ROW(Source!A42)</f>
        <v>42</v>
      </c>
      <c r="B72">
        <v>70471737</v>
      </c>
      <c r="C72">
        <v>70470357</v>
      </c>
      <c r="D72">
        <v>49672573</v>
      </c>
      <c r="E72">
        <v>1</v>
      </c>
      <c r="F72">
        <v>1</v>
      </c>
      <c r="G72">
        <v>1</v>
      </c>
      <c r="H72">
        <v>2</v>
      </c>
      <c r="I72" t="s">
        <v>285</v>
      </c>
      <c r="J72" t="s">
        <v>286</v>
      </c>
      <c r="K72" t="s">
        <v>287</v>
      </c>
      <c r="L72">
        <v>1367</v>
      </c>
      <c r="N72">
        <v>1011</v>
      </c>
      <c r="O72" t="s">
        <v>267</v>
      </c>
      <c r="P72" t="s">
        <v>267</v>
      </c>
      <c r="Q72">
        <v>1</v>
      </c>
      <c r="W72">
        <v>0</v>
      </c>
      <c r="X72">
        <v>-430484415</v>
      </c>
      <c r="Y72">
        <f t="shared" si="28"/>
        <v>0.01</v>
      </c>
      <c r="AA72">
        <v>0</v>
      </c>
      <c r="AB72">
        <v>1298.25</v>
      </c>
      <c r="AC72">
        <v>495.05</v>
      </c>
      <c r="AD72">
        <v>0</v>
      </c>
      <c r="AE72">
        <v>0</v>
      </c>
      <c r="AF72">
        <v>115.4</v>
      </c>
      <c r="AG72">
        <v>13.5</v>
      </c>
      <c r="AH72">
        <v>0</v>
      </c>
      <c r="AI72">
        <v>1</v>
      </c>
      <c r="AJ72">
        <v>11.25</v>
      </c>
      <c r="AK72">
        <v>36.67</v>
      </c>
      <c r="AL72">
        <v>1</v>
      </c>
      <c r="AM72">
        <v>4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6</v>
      </c>
      <c r="AT72">
        <v>0.01</v>
      </c>
      <c r="AU72" t="s">
        <v>6</v>
      </c>
      <c r="AV72">
        <v>0</v>
      </c>
      <c r="AW72">
        <v>2</v>
      </c>
      <c r="AX72">
        <v>70471850</v>
      </c>
      <c r="AY72">
        <v>1</v>
      </c>
      <c r="AZ72">
        <v>0</v>
      </c>
      <c r="BA72">
        <v>71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f>ROUND(Y72*Source!I42*DO72,7)</f>
        <v>0</v>
      </c>
      <c r="CX72">
        <f>ROUND(Y72*Source!I42,7)</f>
        <v>0.24</v>
      </c>
      <c r="CY72">
        <f>AB72</f>
        <v>1298.25</v>
      </c>
      <c r="CZ72">
        <f>AF72</f>
        <v>115.4</v>
      </c>
      <c r="DA72">
        <f>AJ72</f>
        <v>11.25</v>
      </c>
      <c r="DB72">
        <f t="shared" si="26"/>
        <v>1.1499999999999999</v>
      </c>
      <c r="DC72">
        <f t="shared" si="27"/>
        <v>0.14000000000000001</v>
      </c>
      <c r="DD72" t="s">
        <v>6</v>
      </c>
      <c r="DE72" t="s">
        <v>6</v>
      </c>
      <c r="DF72">
        <f>ROUND(ROUND(AE72,2)*CX72,2)</f>
        <v>0</v>
      </c>
      <c r="DG72">
        <f>ROUND(ROUND(AF72*AJ72,2)*CX72,2)</f>
        <v>311.58</v>
      </c>
      <c r="DH72">
        <f>Source!I42*SmtRes!Y72</f>
        <v>0.24</v>
      </c>
      <c r="DI72">
        <f>AB72</f>
        <v>1298.25</v>
      </c>
      <c r="DJ72">
        <f>EtalonRes!Z71</f>
        <v>115.4</v>
      </c>
      <c r="DK72" t="e">
        <f>Source!BB42</f>
        <v>#REF!</v>
      </c>
      <c r="DL72" t="s">
        <v>6</v>
      </c>
      <c r="DM72">
        <v>0</v>
      </c>
      <c r="DN72" t="s">
        <v>6</v>
      </c>
      <c r="DO72">
        <v>0</v>
      </c>
      <c r="GQ72">
        <v>-1</v>
      </c>
      <c r="GR72">
        <v>-1</v>
      </c>
    </row>
    <row r="73" spans="1:200" x14ac:dyDescent="0.2">
      <c r="A73">
        <f>ROW(Source!A42)</f>
        <v>42</v>
      </c>
      <c r="B73">
        <v>70471737</v>
      </c>
      <c r="C73">
        <v>70470357</v>
      </c>
      <c r="D73">
        <v>49673503</v>
      </c>
      <c r="E73">
        <v>1</v>
      </c>
      <c r="F73">
        <v>1</v>
      </c>
      <c r="G73">
        <v>1</v>
      </c>
      <c r="H73">
        <v>2</v>
      </c>
      <c r="I73" t="s">
        <v>288</v>
      </c>
      <c r="J73" t="s">
        <v>289</v>
      </c>
      <c r="K73" t="s">
        <v>290</v>
      </c>
      <c r="L73">
        <v>1367</v>
      </c>
      <c r="N73">
        <v>1011</v>
      </c>
      <c r="O73" t="s">
        <v>267</v>
      </c>
      <c r="P73" t="s">
        <v>267</v>
      </c>
      <c r="Q73">
        <v>1</v>
      </c>
      <c r="W73">
        <v>0</v>
      </c>
      <c r="X73">
        <v>509054691</v>
      </c>
      <c r="Y73">
        <f t="shared" si="28"/>
        <v>0.01</v>
      </c>
      <c r="AA73">
        <v>0</v>
      </c>
      <c r="AB73">
        <v>739.24</v>
      </c>
      <c r="AC73">
        <v>425.37</v>
      </c>
      <c r="AD73">
        <v>0</v>
      </c>
      <c r="AE73">
        <v>0</v>
      </c>
      <c r="AF73">
        <v>65.709999999999994</v>
      </c>
      <c r="AG73">
        <v>11.6</v>
      </c>
      <c r="AH73">
        <v>0</v>
      </c>
      <c r="AI73">
        <v>1</v>
      </c>
      <c r="AJ73">
        <v>11.25</v>
      </c>
      <c r="AK73">
        <v>36.67</v>
      </c>
      <c r="AL73">
        <v>1</v>
      </c>
      <c r="AM73">
        <v>4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6</v>
      </c>
      <c r="AT73">
        <v>0.01</v>
      </c>
      <c r="AU73" t="s">
        <v>6</v>
      </c>
      <c r="AV73">
        <v>0</v>
      </c>
      <c r="AW73">
        <v>2</v>
      </c>
      <c r="AX73">
        <v>70471851</v>
      </c>
      <c r="AY73">
        <v>1</v>
      </c>
      <c r="AZ73">
        <v>0</v>
      </c>
      <c r="BA73">
        <v>72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f>ROUND(Y73*Source!I42*DO73,7)</f>
        <v>0</v>
      </c>
      <c r="CX73">
        <f>ROUND(Y73*Source!I42,7)</f>
        <v>0.24</v>
      </c>
      <c r="CY73">
        <f>AB73</f>
        <v>739.24</v>
      </c>
      <c r="CZ73">
        <f>AF73</f>
        <v>65.709999999999994</v>
      </c>
      <c r="DA73">
        <f>AJ73</f>
        <v>11.25</v>
      </c>
      <c r="DB73">
        <f t="shared" si="26"/>
        <v>0.66</v>
      </c>
      <c r="DC73">
        <f t="shared" si="27"/>
        <v>0.12</v>
      </c>
      <c r="DD73" t="s">
        <v>6</v>
      </c>
      <c r="DE73" t="s">
        <v>6</v>
      </c>
      <c r="DF73">
        <f>ROUND(ROUND(AE73,2)*CX73,2)</f>
        <v>0</v>
      </c>
      <c r="DG73">
        <f>ROUND(ROUND(AF73*AJ73,2)*CX73,2)</f>
        <v>177.42</v>
      </c>
      <c r="DH73">
        <f>Source!I42*SmtRes!Y73</f>
        <v>0.24</v>
      </c>
      <c r="DI73">
        <f>AB73</f>
        <v>739.24</v>
      </c>
      <c r="DJ73">
        <f>EtalonRes!Z72</f>
        <v>65.709999999999994</v>
      </c>
      <c r="DK73" t="e">
        <f>Source!BB42</f>
        <v>#REF!</v>
      </c>
      <c r="DL73" t="s">
        <v>6</v>
      </c>
      <c r="DM73">
        <v>0</v>
      </c>
      <c r="DN73" t="s">
        <v>6</v>
      </c>
      <c r="DO73">
        <v>0</v>
      </c>
      <c r="GQ73">
        <v>-1</v>
      </c>
      <c r="GR73">
        <v>-1</v>
      </c>
    </row>
    <row r="74" spans="1:200" x14ac:dyDescent="0.2">
      <c r="A74">
        <f>ROW(Source!A42)</f>
        <v>42</v>
      </c>
      <c r="B74">
        <v>70471737</v>
      </c>
      <c r="C74">
        <v>70470357</v>
      </c>
      <c r="D74">
        <v>49521481</v>
      </c>
      <c r="E74">
        <v>1</v>
      </c>
      <c r="F74">
        <v>1</v>
      </c>
      <c r="G74">
        <v>1</v>
      </c>
      <c r="H74">
        <v>3</v>
      </c>
      <c r="I74" t="s">
        <v>329</v>
      </c>
      <c r="J74" t="s">
        <v>330</v>
      </c>
      <c r="K74" t="s">
        <v>331</v>
      </c>
      <c r="L74">
        <v>1348</v>
      </c>
      <c r="N74">
        <v>1009</v>
      </c>
      <c r="O74" t="s">
        <v>299</v>
      </c>
      <c r="P74" t="s">
        <v>299</v>
      </c>
      <c r="Q74">
        <v>1000</v>
      </c>
      <c r="W74">
        <v>0</v>
      </c>
      <c r="X74">
        <v>1314668235</v>
      </c>
      <c r="Y74" s="60">
        <f>'5.Ведомость_списания'!F70</f>
        <v>8.0000000000000004E-4</v>
      </c>
      <c r="AA74">
        <v>22845.96</v>
      </c>
      <c r="AB74">
        <v>0</v>
      </c>
      <c r="AC74">
        <v>0</v>
      </c>
      <c r="AD74">
        <v>0</v>
      </c>
      <c r="AE74">
        <v>4488.3999999999996</v>
      </c>
      <c r="AF74">
        <v>0</v>
      </c>
      <c r="AG74">
        <v>0</v>
      </c>
      <c r="AH74">
        <v>0</v>
      </c>
      <c r="AI74">
        <v>5.09</v>
      </c>
      <c r="AJ74">
        <v>1</v>
      </c>
      <c r="AK74">
        <v>1</v>
      </c>
      <c r="AL74">
        <v>1</v>
      </c>
      <c r="AM74">
        <v>4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6</v>
      </c>
      <c r="AT74">
        <v>8.0000000000000004E-4</v>
      </c>
      <c r="AU74" t="s">
        <v>6</v>
      </c>
      <c r="AV74">
        <v>0</v>
      </c>
      <c r="AW74">
        <v>2</v>
      </c>
      <c r="AX74">
        <v>70471852</v>
      </c>
      <c r="AY74">
        <v>1</v>
      </c>
      <c r="AZ74">
        <v>0</v>
      </c>
      <c r="BA74">
        <v>73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ROUND(Y74*Source!I42,7)</f>
        <v>1.9199999999999998E-2</v>
      </c>
      <c r="CY74">
        <f t="shared" ref="CY74:CY79" si="29">AA74</f>
        <v>22845.96</v>
      </c>
      <c r="CZ74">
        <f t="shared" ref="CZ74:CZ79" si="30">AE74</f>
        <v>4488.3999999999996</v>
      </c>
      <c r="DA74">
        <f t="shared" ref="DA74:DA79" si="31">AI74</f>
        <v>5.09</v>
      </c>
      <c r="DB74">
        <f t="shared" si="26"/>
        <v>3.59</v>
      </c>
      <c r="DC74">
        <f t="shared" si="27"/>
        <v>0</v>
      </c>
      <c r="DD74" t="s">
        <v>6</v>
      </c>
      <c r="DE74" t="s">
        <v>6</v>
      </c>
      <c r="DF74">
        <f t="shared" ref="DF74:DF79" si="32">ROUND(ROUND(AE74*AI74,2)*CX74,2)</f>
        <v>438.64</v>
      </c>
      <c r="DG74">
        <f t="shared" ref="DG74:DG79" si="33">ROUND(ROUND(AF74,2)*CX74,2)</f>
        <v>0</v>
      </c>
      <c r="DH74">
        <f>Source!I42*SmtRes!Y74</f>
        <v>1.9200000000000002E-2</v>
      </c>
      <c r="DI74">
        <f t="shared" ref="DI74:DI79" si="34">AA74</f>
        <v>22845.96</v>
      </c>
      <c r="DJ74">
        <f>EtalonRes!Y73</f>
        <v>4488.3999999999996</v>
      </c>
      <c r="DK74" t="e">
        <f>Source!BC42</f>
        <v>#REF!</v>
      </c>
      <c r="DL74" t="s">
        <v>6</v>
      </c>
      <c r="DM74">
        <v>0</v>
      </c>
      <c r="DN74" t="s">
        <v>6</v>
      </c>
      <c r="DO74">
        <v>0</v>
      </c>
      <c r="GQ74">
        <v>-1</v>
      </c>
      <c r="GR74">
        <v>-1</v>
      </c>
    </row>
    <row r="75" spans="1:200" x14ac:dyDescent="0.2">
      <c r="A75">
        <f>ROW(Source!A42)</f>
        <v>42</v>
      </c>
      <c r="B75">
        <v>70471737</v>
      </c>
      <c r="C75">
        <v>70470357</v>
      </c>
      <c r="D75">
        <v>49521513</v>
      </c>
      <c r="E75">
        <v>1</v>
      </c>
      <c r="F75">
        <v>1</v>
      </c>
      <c r="G75">
        <v>1</v>
      </c>
      <c r="H75">
        <v>3</v>
      </c>
      <c r="I75" t="s">
        <v>332</v>
      </c>
      <c r="J75" t="s">
        <v>333</v>
      </c>
      <c r="K75" t="s">
        <v>334</v>
      </c>
      <c r="L75">
        <v>1348</v>
      </c>
      <c r="N75">
        <v>1009</v>
      </c>
      <c r="O75" t="s">
        <v>299</v>
      </c>
      <c r="P75" t="s">
        <v>299</v>
      </c>
      <c r="Q75">
        <v>1000</v>
      </c>
      <c r="W75">
        <v>0</v>
      </c>
      <c r="X75">
        <v>-1917861384</v>
      </c>
      <c r="Y75" s="60">
        <f>'5.Ведомость_списания'!F71</f>
        <v>2.0000000000000002E-5</v>
      </c>
      <c r="AA75">
        <v>41258.06</v>
      </c>
      <c r="AB75">
        <v>0</v>
      </c>
      <c r="AC75">
        <v>0</v>
      </c>
      <c r="AD75">
        <v>0</v>
      </c>
      <c r="AE75">
        <v>8105.71</v>
      </c>
      <c r="AF75">
        <v>0</v>
      </c>
      <c r="AG75">
        <v>0</v>
      </c>
      <c r="AH75">
        <v>0</v>
      </c>
      <c r="AI75">
        <v>5.09</v>
      </c>
      <c r="AJ75">
        <v>1</v>
      </c>
      <c r="AK75">
        <v>1</v>
      </c>
      <c r="AL75">
        <v>1</v>
      </c>
      <c r="AM75">
        <v>4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6</v>
      </c>
      <c r="AT75">
        <v>2.0000000000000002E-5</v>
      </c>
      <c r="AU75" t="s">
        <v>6</v>
      </c>
      <c r="AV75">
        <v>0</v>
      </c>
      <c r="AW75">
        <v>2</v>
      </c>
      <c r="AX75">
        <v>70471853</v>
      </c>
      <c r="AY75">
        <v>1</v>
      </c>
      <c r="AZ75">
        <v>0</v>
      </c>
      <c r="BA75">
        <v>74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ROUND(Y75*Source!I42,7)</f>
        <v>4.8000000000000001E-4</v>
      </c>
      <c r="CY75">
        <f t="shared" si="29"/>
        <v>41258.06</v>
      </c>
      <c r="CZ75">
        <f t="shared" si="30"/>
        <v>8105.71</v>
      </c>
      <c r="DA75">
        <f t="shared" si="31"/>
        <v>5.09</v>
      </c>
      <c r="DB75">
        <f t="shared" si="26"/>
        <v>0.16</v>
      </c>
      <c r="DC75">
        <f t="shared" si="27"/>
        <v>0</v>
      </c>
      <c r="DD75" t="s">
        <v>6</v>
      </c>
      <c r="DE75" t="s">
        <v>6</v>
      </c>
      <c r="DF75">
        <f t="shared" si="32"/>
        <v>19.8</v>
      </c>
      <c r="DG75">
        <f t="shared" si="33"/>
        <v>0</v>
      </c>
      <c r="DH75">
        <f>Source!I42*SmtRes!Y75</f>
        <v>4.8000000000000007E-4</v>
      </c>
      <c r="DI75">
        <f t="shared" si="34"/>
        <v>41258.06</v>
      </c>
      <c r="DJ75">
        <f>EtalonRes!Y74</f>
        <v>8105.71</v>
      </c>
      <c r="DK75" t="e">
        <f>Source!BC42</f>
        <v>#REF!</v>
      </c>
      <c r="DL75" t="s">
        <v>6</v>
      </c>
      <c r="DM75">
        <v>0</v>
      </c>
      <c r="DN75" t="s">
        <v>6</v>
      </c>
      <c r="DO75">
        <v>0</v>
      </c>
      <c r="GQ75">
        <v>-1</v>
      </c>
      <c r="GR75">
        <v>-1</v>
      </c>
    </row>
    <row r="76" spans="1:200" x14ac:dyDescent="0.2">
      <c r="A76">
        <f>ROW(Source!A42)</f>
        <v>42</v>
      </c>
      <c r="B76">
        <v>70471737</v>
      </c>
      <c r="C76">
        <v>70470357</v>
      </c>
      <c r="D76">
        <v>49523499</v>
      </c>
      <c r="E76">
        <v>1</v>
      </c>
      <c r="F76">
        <v>1</v>
      </c>
      <c r="G76">
        <v>1</v>
      </c>
      <c r="H76">
        <v>3</v>
      </c>
      <c r="I76" t="s">
        <v>309</v>
      </c>
      <c r="J76" t="s">
        <v>310</v>
      </c>
      <c r="K76" t="s">
        <v>311</v>
      </c>
      <c r="L76">
        <v>1302</v>
      </c>
      <c r="N76">
        <v>1003</v>
      </c>
      <c r="O76" t="s">
        <v>312</v>
      </c>
      <c r="P76" t="s">
        <v>312</v>
      </c>
      <c r="Q76">
        <v>10</v>
      </c>
      <c r="W76">
        <v>0</v>
      </c>
      <c r="X76">
        <v>-893440473</v>
      </c>
      <c r="Y76" s="60">
        <f>'5.Ведомость_списания'!F72</f>
        <v>2.4E-2</v>
      </c>
      <c r="AA76">
        <v>35.119999999999997</v>
      </c>
      <c r="AB76">
        <v>0</v>
      </c>
      <c r="AC76">
        <v>0</v>
      </c>
      <c r="AD76">
        <v>0</v>
      </c>
      <c r="AE76">
        <v>6.9</v>
      </c>
      <c r="AF76">
        <v>0</v>
      </c>
      <c r="AG76">
        <v>0</v>
      </c>
      <c r="AH76">
        <v>0</v>
      </c>
      <c r="AI76">
        <v>5.09</v>
      </c>
      <c r="AJ76">
        <v>1</v>
      </c>
      <c r="AK76">
        <v>1</v>
      </c>
      <c r="AL76">
        <v>1</v>
      </c>
      <c r="AM76">
        <v>4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6</v>
      </c>
      <c r="AT76">
        <v>2.4E-2</v>
      </c>
      <c r="AU76" t="s">
        <v>6</v>
      </c>
      <c r="AV76">
        <v>0</v>
      </c>
      <c r="AW76">
        <v>2</v>
      </c>
      <c r="AX76">
        <v>70471854</v>
      </c>
      <c r="AY76">
        <v>1</v>
      </c>
      <c r="AZ76">
        <v>0</v>
      </c>
      <c r="BA76">
        <v>75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ROUND(Y76*Source!I42,7)</f>
        <v>0.57599999999999996</v>
      </c>
      <c r="CY76">
        <f t="shared" si="29"/>
        <v>35.119999999999997</v>
      </c>
      <c r="CZ76">
        <f t="shared" si="30"/>
        <v>6.9</v>
      </c>
      <c r="DA76">
        <f t="shared" si="31"/>
        <v>5.09</v>
      </c>
      <c r="DB76">
        <f t="shared" si="26"/>
        <v>0.17</v>
      </c>
      <c r="DC76">
        <f t="shared" si="27"/>
        <v>0</v>
      </c>
      <c r="DD76" t="s">
        <v>6</v>
      </c>
      <c r="DE76" t="s">
        <v>6</v>
      </c>
      <c r="DF76">
        <f t="shared" si="32"/>
        <v>20.23</v>
      </c>
      <c r="DG76">
        <f t="shared" si="33"/>
        <v>0</v>
      </c>
      <c r="DH76">
        <f>Source!I42*SmtRes!Y76</f>
        <v>0.57600000000000007</v>
      </c>
      <c r="DI76">
        <f t="shared" si="34"/>
        <v>35.119999999999997</v>
      </c>
      <c r="DJ76">
        <f>EtalonRes!Y75</f>
        <v>6.9</v>
      </c>
      <c r="DK76" t="e">
        <f>Source!BC42</f>
        <v>#REF!</v>
      </c>
      <c r="DL76" t="s">
        <v>6</v>
      </c>
      <c r="DM76">
        <v>0</v>
      </c>
      <c r="DN76" t="s">
        <v>6</v>
      </c>
      <c r="DO76">
        <v>0</v>
      </c>
      <c r="GQ76">
        <v>-1</v>
      </c>
      <c r="GR76">
        <v>-1</v>
      </c>
    </row>
    <row r="77" spans="1:200" x14ac:dyDescent="0.2">
      <c r="A77">
        <f>ROW(Source!A42)</f>
        <v>42</v>
      </c>
      <c r="B77">
        <v>70471737</v>
      </c>
      <c r="C77">
        <v>70470357</v>
      </c>
      <c r="D77">
        <v>49568003</v>
      </c>
      <c r="E77">
        <v>1</v>
      </c>
      <c r="F77">
        <v>1</v>
      </c>
      <c r="G77">
        <v>1</v>
      </c>
      <c r="H77">
        <v>3</v>
      </c>
      <c r="I77" t="s">
        <v>335</v>
      </c>
      <c r="J77" t="s">
        <v>336</v>
      </c>
      <c r="K77" t="s">
        <v>337</v>
      </c>
      <c r="L77">
        <v>1425</v>
      </c>
      <c r="N77">
        <v>1013</v>
      </c>
      <c r="O77" t="s">
        <v>338</v>
      </c>
      <c r="P77" t="s">
        <v>338</v>
      </c>
      <c r="Q77">
        <v>1</v>
      </c>
      <c r="W77">
        <v>0</v>
      </c>
      <c r="X77">
        <v>-1865384824</v>
      </c>
      <c r="Y77" s="60">
        <f>'5.Ведомость_списания'!F73</f>
        <v>3.1E-2</v>
      </c>
      <c r="AA77">
        <v>15880.8</v>
      </c>
      <c r="AB77">
        <v>0</v>
      </c>
      <c r="AC77">
        <v>0</v>
      </c>
      <c r="AD77">
        <v>0</v>
      </c>
      <c r="AE77">
        <v>3120</v>
      </c>
      <c r="AF77">
        <v>0</v>
      </c>
      <c r="AG77">
        <v>0</v>
      </c>
      <c r="AH77">
        <v>0</v>
      </c>
      <c r="AI77">
        <v>5.09</v>
      </c>
      <c r="AJ77">
        <v>1</v>
      </c>
      <c r="AK77">
        <v>1</v>
      </c>
      <c r="AL77">
        <v>1</v>
      </c>
      <c r="AM77">
        <v>4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6</v>
      </c>
      <c r="AT77">
        <v>3.1E-2</v>
      </c>
      <c r="AU77" t="s">
        <v>6</v>
      </c>
      <c r="AV77">
        <v>0</v>
      </c>
      <c r="AW77">
        <v>2</v>
      </c>
      <c r="AX77">
        <v>70471855</v>
      </c>
      <c r="AY77">
        <v>1</v>
      </c>
      <c r="AZ77">
        <v>0</v>
      </c>
      <c r="BA77">
        <v>76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ROUND(Y77*Source!I42,7)</f>
        <v>0.74399999999999999</v>
      </c>
      <c r="CY77">
        <f t="shared" si="29"/>
        <v>15880.8</v>
      </c>
      <c r="CZ77">
        <f t="shared" si="30"/>
        <v>3120</v>
      </c>
      <c r="DA77">
        <f t="shared" si="31"/>
        <v>5.09</v>
      </c>
      <c r="DB77">
        <f t="shared" si="26"/>
        <v>96.72</v>
      </c>
      <c r="DC77">
        <f t="shared" si="27"/>
        <v>0</v>
      </c>
      <c r="DD77" t="s">
        <v>6</v>
      </c>
      <c r="DE77" t="s">
        <v>6</v>
      </c>
      <c r="DF77">
        <f t="shared" si="32"/>
        <v>11815.32</v>
      </c>
      <c r="DG77">
        <f t="shared" si="33"/>
        <v>0</v>
      </c>
      <c r="DH77">
        <f>Source!I42*SmtRes!Y77</f>
        <v>0.74399999999999999</v>
      </c>
      <c r="DI77">
        <f t="shared" si="34"/>
        <v>15880.8</v>
      </c>
      <c r="DJ77">
        <f>EtalonRes!Y76</f>
        <v>3120</v>
      </c>
      <c r="DK77" t="e">
        <f>Source!BC42</f>
        <v>#REF!</v>
      </c>
      <c r="DL77" t="s">
        <v>6</v>
      </c>
      <c r="DM77">
        <v>0</v>
      </c>
      <c r="DN77" t="s">
        <v>6</v>
      </c>
      <c r="DO77">
        <v>0</v>
      </c>
      <c r="GQ77">
        <v>-1</v>
      </c>
      <c r="GR77">
        <v>-1</v>
      </c>
    </row>
    <row r="78" spans="1:200" x14ac:dyDescent="0.2">
      <c r="A78">
        <f>ROW(Source!A42)</f>
        <v>42</v>
      </c>
      <c r="B78">
        <v>70471737</v>
      </c>
      <c r="C78">
        <v>70470357</v>
      </c>
      <c r="D78">
        <v>49515638</v>
      </c>
      <c r="E78">
        <v>70</v>
      </c>
      <c r="F78">
        <v>1</v>
      </c>
      <c r="G78">
        <v>1</v>
      </c>
      <c r="H78">
        <v>3</v>
      </c>
      <c r="I78" t="s">
        <v>291</v>
      </c>
      <c r="J78" t="s">
        <v>6</v>
      </c>
      <c r="K78" t="s">
        <v>292</v>
      </c>
      <c r="L78">
        <v>1374</v>
      </c>
      <c r="N78">
        <v>1013</v>
      </c>
      <c r="O78" t="s">
        <v>293</v>
      </c>
      <c r="P78" t="s">
        <v>293</v>
      </c>
      <c r="Q78">
        <v>1</v>
      </c>
      <c r="W78">
        <v>0</v>
      </c>
      <c r="X78">
        <v>-1731369543</v>
      </c>
      <c r="Y78" s="60">
        <f>'5.Ведомость_списания'!F74</f>
        <v>1.94</v>
      </c>
      <c r="AA78">
        <v>5.09</v>
      </c>
      <c r="AB78">
        <v>0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0</v>
      </c>
      <c r="AI78">
        <v>5.09</v>
      </c>
      <c r="AJ78">
        <v>1</v>
      </c>
      <c r="AK78">
        <v>1</v>
      </c>
      <c r="AL78">
        <v>1</v>
      </c>
      <c r="AM78">
        <v>4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6</v>
      </c>
      <c r="AT78">
        <v>1.94</v>
      </c>
      <c r="AU78" t="s">
        <v>6</v>
      </c>
      <c r="AV78">
        <v>0</v>
      </c>
      <c r="AW78">
        <v>2</v>
      </c>
      <c r="AX78">
        <v>70471856</v>
      </c>
      <c r="AY78">
        <v>1</v>
      </c>
      <c r="AZ78">
        <v>0</v>
      </c>
      <c r="BA78">
        <v>77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ROUND(Y78*Source!I42,7)</f>
        <v>46.56</v>
      </c>
      <c r="CY78">
        <f t="shared" si="29"/>
        <v>5.09</v>
      </c>
      <c r="CZ78">
        <f t="shared" si="30"/>
        <v>1</v>
      </c>
      <c r="DA78">
        <f t="shared" si="31"/>
        <v>5.09</v>
      </c>
      <c r="DB78">
        <f t="shared" si="26"/>
        <v>1.94</v>
      </c>
      <c r="DC78">
        <f t="shared" si="27"/>
        <v>0</v>
      </c>
      <c r="DD78" t="s">
        <v>6</v>
      </c>
      <c r="DE78" t="s">
        <v>6</v>
      </c>
      <c r="DF78">
        <f t="shared" si="32"/>
        <v>236.99</v>
      </c>
      <c r="DG78">
        <f t="shared" si="33"/>
        <v>0</v>
      </c>
      <c r="DH78">
        <f>Source!I42*SmtRes!Y78</f>
        <v>46.56</v>
      </c>
      <c r="DI78">
        <f t="shared" si="34"/>
        <v>5.09</v>
      </c>
      <c r="DJ78">
        <f>EtalonRes!Y77</f>
        <v>1</v>
      </c>
      <c r="DK78" t="e">
        <f>Source!BC42</f>
        <v>#REF!</v>
      </c>
      <c r="DL78" t="s">
        <v>6</v>
      </c>
      <c r="DM78">
        <v>0</v>
      </c>
      <c r="DN78" t="s">
        <v>6</v>
      </c>
      <c r="DO78">
        <v>0</v>
      </c>
      <c r="GQ78">
        <v>-1</v>
      </c>
      <c r="GR78">
        <v>-1</v>
      </c>
    </row>
    <row r="79" spans="1:200" x14ac:dyDescent="0.2">
      <c r="A79">
        <f>ROW(Source!A42)</f>
        <v>42</v>
      </c>
      <c r="B79">
        <v>70471737</v>
      </c>
      <c r="C79">
        <v>70470357</v>
      </c>
      <c r="D79">
        <v>0</v>
      </c>
      <c r="E79">
        <v>1</v>
      </c>
      <c r="F79">
        <v>1</v>
      </c>
      <c r="G79">
        <v>1</v>
      </c>
      <c r="H79">
        <v>3</v>
      </c>
      <c r="I79" t="s">
        <v>73</v>
      </c>
      <c r="J79" t="s">
        <v>6</v>
      </c>
      <c r="K79" t="s">
        <v>138</v>
      </c>
      <c r="L79">
        <v>1354</v>
      </c>
      <c r="N79">
        <v>1010</v>
      </c>
      <c r="O79" t="s">
        <v>139</v>
      </c>
      <c r="P79" t="s">
        <v>139</v>
      </c>
      <c r="Q79">
        <v>1</v>
      </c>
      <c r="W79">
        <v>0</v>
      </c>
      <c r="X79">
        <v>-552325491</v>
      </c>
      <c r="Y79">
        <f t="shared" si="28"/>
        <v>1</v>
      </c>
      <c r="AA79">
        <v>34541.4</v>
      </c>
      <c r="AB79">
        <v>0</v>
      </c>
      <c r="AC79">
        <v>0</v>
      </c>
      <c r="AD79">
        <v>0</v>
      </c>
      <c r="AE79">
        <v>6786.13</v>
      </c>
      <c r="AF79">
        <v>0</v>
      </c>
      <c r="AG79">
        <v>0</v>
      </c>
      <c r="AH79">
        <v>0</v>
      </c>
      <c r="AI79">
        <v>5.09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0</v>
      </c>
      <c r="AQ79">
        <v>0</v>
      </c>
      <c r="AR79">
        <v>0</v>
      </c>
      <c r="AS79" t="s">
        <v>6</v>
      </c>
      <c r="AT79">
        <v>1</v>
      </c>
      <c r="AU79" t="s">
        <v>6</v>
      </c>
      <c r="AV79">
        <v>0</v>
      </c>
      <c r="AW79">
        <v>1</v>
      </c>
      <c r="AX79">
        <v>-1</v>
      </c>
      <c r="AY79">
        <v>0</v>
      </c>
      <c r="AZ79">
        <v>0</v>
      </c>
      <c r="BA79" t="s">
        <v>6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ROUND(Y79*Source!I42,7)</f>
        <v>24</v>
      </c>
      <c r="CY79">
        <f t="shared" si="29"/>
        <v>34541.4</v>
      </c>
      <c r="CZ79">
        <f t="shared" si="30"/>
        <v>6786.13</v>
      </c>
      <c r="DA79">
        <f t="shared" si="31"/>
        <v>5.09</v>
      </c>
      <c r="DB79">
        <f t="shared" si="26"/>
        <v>6786.13</v>
      </c>
      <c r="DC79">
        <f t="shared" si="27"/>
        <v>0</v>
      </c>
      <c r="DD79" t="s">
        <v>6</v>
      </c>
      <c r="DE79" t="s">
        <v>6</v>
      </c>
      <c r="DF79">
        <f t="shared" si="32"/>
        <v>828993.6</v>
      </c>
      <c r="DG79">
        <f t="shared" si="33"/>
        <v>0</v>
      </c>
      <c r="DH79">
        <f>Source!I42*SmtRes!Y79</f>
        <v>24</v>
      </c>
      <c r="DI79">
        <f t="shared" si="34"/>
        <v>34541.4</v>
      </c>
      <c r="DJ79">
        <f t="shared" ref="DJ79" si="35">DF79</f>
        <v>828993.6</v>
      </c>
      <c r="DK79" t="e">
        <f>Source!BC42</f>
        <v>#REF!</v>
      </c>
      <c r="DL79" t="s">
        <v>6</v>
      </c>
      <c r="DM79">
        <v>0</v>
      </c>
      <c r="DN79" t="s">
        <v>6</v>
      </c>
      <c r="DO79">
        <v>0</v>
      </c>
      <c r="GP79">
        <v>1</v>
      </c>
      <c r="GQ79">
        <v>-1</v>
      </c>
      <c r="GR79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5.Ведомость_списания</vt:lpstr>
      <vt:lpstr>4.Ресурсный_расчет</vt:lpstr>
      <vt:lpstr>3.Оборудование</vt:lpstr>
      <vt:lpstr>2.Материалы</vt:lpstr>
      <vt:lpstr>1.Лок.смета.и.Акт</vt:lpstr>
      <vt:lpstr>SourceOb.1</vt:lpstr>
      <vt:lpstr>Source</vt:lpstr>
      <vt:lpstr>SourceObSm</vt:lpstr>
      <vt:lpstr>SmtRes</vt:lpstr>
      <vt:lpstr>EtalonRes</vt:lpstr>
      <vt:lpstr>SrcPoprs</vt:lpstr>
      <vt:lpstr>SrcKA</vt:lpstr>
      <vt:lpstr>'1.Лок.смета.и.Акт'!Заголовки_для_печати</vt:lpstr>
      <vt:lpstr>'2.Материалы'!Заголовки_для_печати</vt:lpstr>
      <vt:lpstr>'3.Оборудование'!Заголовки_для_печати</vt:lpstr>
      <vt:lpstr>'4.Ресурсный_расчет'!Заголовки_для_печати</vt:lpstr>
      <vt:lpstr>'5.Ведомость_списания'!Заголовки_для_печати</vt:lpstr>
      <vt:lpstr>'1.Лок.смета.и.Акт'!Область_печати</vt:lpstr>
      <vt:lpstr>'2.Материалы'!Область_печати</vt:lpstr>
      <vt:lpstr>'3.Оборудование'!Область_печати</vt:lpstr>
      <vt:lpstr>'4.Ресурсный_расчет'!Область_печати</vt:lpstr>
      <vt:lpstr>'5.Ведомость_списания'!Область_печати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Ионова Елизавета Борисовна</dc:creator>
  <cp:lastModifiedBy>Ревина Юлия Ивановна</cp:lastModifiedBy>
  <cp:lastPrinted>2025-04-28T07:15:46Z</cp:lastPrinted>
  <dcterms:created xsi:type="dcterms:W3CDTF">2025-04-01T05:26:07Z</dcterms:created>
  <dcterms:modified xsi:type="dcterms:W3CDTF">2025-04-30T08:44:16Z</dcterms:modified>
</cp:coreProperties>
</file>